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codeName="{4D1C537B-E38A-612A-F078-A93A15B4B7F4}"/>
  <workbookPr codeName="DieseArbeitsmappe" defaultThemeVersion="124226"/>
  <mc:AlternateContent xmlns:mc="http://schemas.openxmlformats.org/markup-compatibility/2006">
    <mc:Choice Requires="x15">
      <x15ac:absPath xmlns:x15ac="http://schemas.microsoft.com/office/spreadsheetml/2010/11/ac" url="H:\VertriebPM\Tools\2022\"/>
    </mc:Choice>
  </mc:AlternateContent>
  <xr:revisionPtr revIDLastSave="0" documentId="13_ncr:1_{5442043F-5336-49C7-8013-F1C2F228C721}" xr6:coauthVersionLast="46" xr6:coauthVersionMax="46" xr10:uidLastSave="{00000000-0000-0000-0000-000000000000}"/>
  <workbookProtection workbookAlgorithmName="SHA-512" workbookHashValue="qsamTaweXN2XcUcbmUMI2vpCMwvT/pdXVvldJNx6TPziTsPiWr5Peo6K43WRSsd+BKRHavSSwdolbiJggFfaqQ==" workbookSaltValue="6pBvhLjNpGYLtKiQNGDNnw==" workbookSpinCount="100000" lockStructure="1"/>
  <bookViews>
    <workbookView xWindow="-120" yWindow="-120" windowWidth="29040" windowHeight="15840" tabRatio="890" xr2:uid="{00000000-000D-0000-FFFF-FFFF00000000}"/>
  </bookViews>
  <sheets>
    <sheet name="Eingabe" sheetId="8" r:id="rId1"/>
    <sheet name="Steuer" sheetId="35" r:id="rId2"/>
    <sheet name="Steuerübersicht" sheetId="36" state="hidden" r:id="rId3"/>
    <sheet name="Wechsel" sheetId="10" r:id="rId4"/>
    <sheet name="Grafik" sheetId="19" state="hidden" r:id="rId5"/>
    <sheet name="Hilfe" sheetId="9" state="hidden" r:id="rId6"/>
    <sheet name="FSX (Einzel)" sheetId="21" state="hidden" r:id="rId7"/>
    <sheet name="FSX (G)" sheetId="22" state="hidden" r:id="rId8"/>
    <sheet name="FSX (N) " sheetId="23" state="hidden" r:id="rId9"/>
    <sheet name="FSX (U)" sheetId="24" state="hidden" r:id="rId10"/>
    <sheet name="FSX (V) " sheetId="25" state="hidden" r:id="rId11"/>
    <sheet name="FSX (W)" sheetId="26" state="hidden" r:id="rId12"/>
    <sheet name="FSX (M)" sheetId="27" state="hidden" r:id="rId13"/>
    <sheet name="FSX (EB, Einzel)" sheetId="28" state="hidden" r:id="rId14"/>
    <sheet name="FSX (EB, G)" sheetId="29" state="hidden" r:id="rId15"/>
    <sheet name="FSX (EB, N)" sheetId="30" state="hidden" r:id="rId16"/>
    <sheet name="FSX (EB, U)" sheetId="31" state="hidden" r:id="rId17"/>
    <sheet name="FSX (EB, V)" sheetId="32" state="hidden" r:id="rId18"/>
    <sheet name="FSX (EB, W)" sheetId="33" state="hidden" r:id="rId19"/>
    <sheet name="FSX (EB, M)" sheetId="34" state="hidden" r:id="rId20"/>
    <sheet name="Berechnung Ratierlich heute" sheetId="11" state="hidden" r:id="rId21"/>
    <sheet name="Berechnung Ratierlich 2%" sheetId="14" state="hidden" r:id="rId22"/>
    <sheet name="Berechnung Ratierlich 4%" sheetId="15" state="hidden" r:id="rId23"/>
    <sheet name="Berechnung EB heute" sheetId="16" state="hidden" r:id="rId24"/>
    <sheet name="Berechnung EB 2%" sheetId="17" state="hidden" r:id="rId25"/>
    <sheet name="Berechnung EB 4%" sheetId="18" state="hidden" r:id="rId26"/>
  </sheets>
  <functionGroups builtInGroupCount="19"/>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3" i="8" l="1"/>
  <c r="A1" i="35" l="1"/>
  <c r="E31" i="8" l="1"/>
  <c r="G18" i="8" l="1"/>
  <c r="M1" i="16" l="1"/>
  <c r="M1" i="11"/>
  <c r="A5" i="35" l="1"/>
  <c r="A39" i="35"/>
  <c r="C34" i="9"/>
  <c r="C35" i="9"/>
  <c r="C36" i="9"/>
  <c r="C37" i="9"/>
  <c r="C38" i="9"/>
  <c r="C39" i="9"/>
  <c r="C33" i="9"/>
  <c r="F3" i="9"/>
  <c r="B4" i="9" l="1"/>
  <c r="A4" i="8"/>
  <c r="P51" i="34" l="1"/>
  <c r="O51" i="34"/>
  <c r="N51" i="34"/>
  <c r="M51" i="34"/>
  <c r="L51" i="34"/>
  <c r="K51" i="34"/>
  <c r="J51" i="34"/>
  <c r="P50" i="34"/>
  <c r="O50" i="34"/>
  <c r="N50" i="34"/>
  <c r="M50" i="34"/>
  <c r="L50" i="34"/>
  <c r="K50" i="34"/>
  <c r="J50" i="34"/>
  <c r="P49" i="34"/>
  <c r="O49" i="34"/>
  <c r="N49" i="34"/>
  <c r="M49" i="34"/>
  <c r="L49" i="34"/>
  <c r="K49" i="34"/>
  <c r="J49" i="34"/>
  <c r="P48" i="34"/>
  <c r="O48" i="34"/>
  <c r="N48" i="34"/>
  <c r="M48" i="34"/>
  <c r="L48" i="34"/>
  <c r="K48" i="34"/>
  <c r="J48" i="34"/>
  <c r="P47" i="34"/>
  <c r="O47" i="34"/>
  <c r="N47" i="34"/>
  <c r="M47" i="34"/>
  <c r="L47" i="34"/>
  <c r="K47" i="34"/>
  <c r="J47" i="34"/>
  <c r="P46" i="34"/>
  <c r="O46" i="34"/>
  <c r="N46" i="34"/>
  <c r="M46" i="34"/>
  <c r="L46" i="34"/>
  <c r="K46" i="34"/>
  <c r="J46" i="34"/>
  <c r="P45" i="34"/>
  <c r="O45" i="34"/>
  <c r="N45" i="34"/>
  <c r="M45" i="34"/>
  <c r="L45" i="34"/>
  <c r="K45" i="34"/>
  <c r="J45" i="34"/>
  <c r="P44" i="34"/>
  <c r="O44" i="34"/>
  <c r="N44" i="34"/>
  <c r="M44" i="34"/>
  <c r="L44" i="34"/>
  <c r="K44" i="34"/>
  <c r="J44" i="34"/>
  <c r="P43" i="34"/>
  <c r="O43" i="34"/>
  <c r="N43" i="34"/>
  <c r="M43" i="34"/>
  <c r="L43" i="34"/>
  <c r="K43" i="34"/>
  <c r="J43" i="34"/>
  <c r="P42" i="34"/>
  <c r="O42" i="34"/>
  <c r="N42" i="34"/>
  <c r="M42" i="34"/>
  <c r="L42" i="34"/>
  <c r="K42" i="34"/>
  <c r="J42" i="34"/>
  <c r="P41" i="34"/>
  <c r="O41" i="34"/>
  <c r="N41" i="34"/>
  <c r="M41" i="34"/>
  <c r="L41" i="34"/>
  <c r="K41" i="34"/>
  <c r="J41" i="34"/>
  <c r="P40" i="34"/>
  <c r="O40" i="34"/>
  <c r="N40" i="34"/>
  <c r="M40" i="34"/>
  <c r="L40" i="34"/>
  <c r="K40" i="34"/>
  <c r="J40" i="34"/>
  <c r="P39" i="34"/>
  <c r="O39" i="34"/>
  <c r="N39" i="34"/>
  <c r="M39" i="34"/>
  <c r="L39" i="34"/>
  <c r="K39" i="34"/>
  <c r="J39" i="34"/>
  <c r="P38" i="34"/>
  <c r="O38" i="34"/>
  <c r="N38" i="34"/>
  <c r="M38" i="34"/>
  <c r="L38" i="34"/>
  <c r="K38" i="34"/>
  <c r="J38" i="34"/>
  <c r="P37" i="34"/>
  <c r="O37" i="34"/>
  <c r="N37" i="34"/>
  <c r="M37" i="34"/>
  <c r="L37" i="34"/>
  <c r="K37" i="34"/>
  <c r="J37" i="34"/>
  <c r="P36" i="34"/>
  <c r="O36" i="34"/>
  <c r="N36" i="34"/>
  <c r="M36" i="34"/>
  <c r="L36" i="34"/>
  <c r="K36" i="34"/>
  <c r="J36" i="34"/>
  <c r="P35" i="34"/>
  <c r="O35" i="34"/>
  <c r="N35" i="34"/>
  <c r="M35" i="34"/>
  <c r="L35" i="34"/>
  <c r="K35" i="34"/>
  <c r="J35" i="34"/>
  <c r="P34" i="34"/>
  <c r="O34" i="34"/>
  <c r="N34" i="34"/>
  <c r="M34" i="34"/>
  <c r="L34" i="34"/>
  <c r="K34" i="34"/>
  <c r="J34" i="34"/>
  <c r="P33" i="34"/>
  <c r="O33" i="34"/>
  <c r="N33" i="34"/>
  <c r="M33" i="34"/>
  <c r="L33" i="34"/>
  <c r="K33" i="34"/>
  <c r="J33" i="34"/>
  <c r="P32" i="34"/>
  <c r="O32" i="34"/>
  <c r="N32" i="34"/>
  <c r="M32" i="34"/>
  <c r="L32" i="34"/>
  <c r="K32" i="34"/>
  <c r="J32" i="34"/>
  <c r="P31" i="34"/>
  <c r="O31" i="34"/>
  <c r="N31" i="34"/>
  <c r="M31" i="34"/>
  <c r="L31" i="34"/>
  <c r="K31" i="34"/>
  <c r="J31" i="34"/>
  <c r="P30" i="34"/>
  <c r="O30" i="34"/>
  <c r="N30" i="34"/>
  <c r="M30" i="34"/>
  <c r="L30" i="34"/>
  <c r="K30" i="34"/>
  <c r="J30" i="34"/>
  <c r="P29" i="34"/>
  <c r="O29" i="34"/>
  <c r="N29" i="34"/>
  <c r="M29" i="34"/>
  <c r="L29" i="34"/>
  <c r="K29" i="34"/>
  <c r="J29" i="34"/>
  <c r="P28" i="34"/>
  <c r="O28" i="34"/>
  <c r="N28" i="34"/>
  <c r="M28" i="34"/>
  <c r="L28" i="34"/>
  <c r="K28" i="34"/>
  <c r="J28" i="34"/>
  <c r="P27" i="34"/>
  <c r="O27" i="34"/>
  <c r="N27" i="34"/>
  <c r="M27" i="34"/>
  <c r="L27" i="34"/>
  <c r="K27" i="34"/>
  <c r="J27" i="34"/>
  <c r="P26" i="34"/>
  <c r="O26" i="34"/>
  <c r="N26" i="34"/>
  <c r="M26" i="34"/>
  <c r="L26" i="34"/>
  <c r="K26" i="34"/>
  <c r="J26" i="34"/>
  <c r="P25" i="34"/>
  <c r="O25" i="34"/>
  <c r="N25" i="34"/>
  <c r="M25" i="34"/>
  <c r="L25" i="34"/>
  <c r="K25" i="34"/>
  <c r="J25" i="34"/>
  <c r="P24" i="34"/>
  <c r="O24" i="34"/>
  <c r="N24" i="34"/>
  <c r="M24" i="34"/>
  <c r="L24" i="34"/>
  <c r="K24" i="34"/>
  <c r="J24" i="34"/>
  <c r="P23" i="34"/>
  <c r="O23" i="34"/>
  <c r="N23" i="34"/>
  <c r="M23" i="34"/>
  <c r="L23" i="34"/>
  <c r="K23" i="34"/>
  <c r="J23" i="34"/>
  <c r="P22" i="34"/>
  <c r="O22" i="34"/>
  <c r="N22" i="34"/>
  <c r="M22" i="34"/>
  <c r="L22" i="34"/>
  <c r="K22" i="34"/>
  <c r="J22" i="34"/>
  <c r="P21" i="34"/>
  <c r="O21" i="34"/>
  <c r="N21" i="34"/>
  <c r="M21" i="34"/>
  <c r="L21" i="34"/>
  <c r="K21" i="34"/>
  <c r="J21" i="34"/>
  <c r="P20" i="34"/>
  <c r="O20" i="34"/>
  <c r="N20" i="34"/>
  <c r="M20" i="34"/>
  <c r="L20" i="34"/>
  <c r="K20" i="34"/>
  <c r="J20" i="34"/>
  <c r="P19" i="34"/>
  <c r="O19" i="34"/>
  <c r="N19" i="34"/>
  <c r="M19" i="34"/>
  <c r="L19" i="34"/>
  <c r="K19" i="34"/>
  <c r="J19" i="34"/>
  <c r="P18" i="34"/>
  <c r="O18" i="34"/>
  <c r="N18" i="34"/>
  <c r="M18" i="34"/>
  <c r="L18" i="34"/>
  <c r="K18" i="34"/>
  <c r="J18" i="34"/>
  <c r="P17" i="34"/>
  <c r="O17" i="34"/>
  <c r="N17" i="34"/>
  <c r="M17" i="34"/>
  <c r="L17" i="34"/>
  <c r="K17" i="34"/>
  <c r="J17" i="34"/>
  <c r="P16" i="34"/>
  <c r="O16" i="34"/>
  <c r="N16" i="34"/>
  <c r="M16" i="34"/>
  <c r="L16" i="34"/>
  <c r="K16" i="34"/>
  <c r="J16" i="34"/>
  <c r="P15" i="34"/>
  <c r="O15" i="34"/>
  <c r="N15" i="34"/>
  <c r="M15" i="34"/>
  <c r="L15" i="34"/>
  <c r="K15" i="34"/>
  <c r="J15" i="34"/>
  <c r="P14" i="34"/>
  <c r="O14" i="34"/>
  <c r="N14" i="34"/>
  <c r="M14" i="34"/>
  <c r="L14" i="34"/>
  <c r="K14" i="34"/>
  <c r="J14" i="34"/>
  <c r="P13" i="34"/>
  <c r="O13" i="34"/>
  <c r="N13" i="34"/>
  <c r="M13" i="34"/>
  <c r="L13" i="34"/>
  <c r="K13" i="34"/>
  <c r="J13" i="34"/>
  <c r="P12" i="34"/>
  <c r="O12" i="34"/>
  <c r="N12" i="34"/>
  <c r="M12" i="34"/>
  <c r="L12" i="34"/>
  <c r="K12" i="34"/>
  <c r="J12" i="34"/>
  <c r="P11" i="34"/>
  <c r="O11" i="34"/>
  <c r="N11" i="34"/>
  <c r="M11" i="34"/>
  <c r="L11" i="34"/>
  <c r="K11" i="34"/>
  <c r="J11" i="34"/>
  <c r="P10" i="34"/>
  <c r="O10" i="34"/>
  <c r="N10" i="34"/>
  <c r="M10" i="34"/>
  <c r="L10" i="34"/>
  <c r="K10" i="34"/>
  <c r="J10" i="34"/>
  <c r="P9" i="34"/>
  <c r="O9" i="34"/>
  <c r="N9" i="34"/>
  <c r="M9" i="34"/>
  <c r="L9" i="34"/>
  <c r="K9" i="34"/>
  <c r="J9" i="34"/>
  <c r="P8" i="34"/>
  <c r="O8" i="34"/>
  <c r="N8" i="34"/>
  <c r="M8" i="34"/>
  <c r="L8" i="34"/>
  <c r="K8" i="34"/>
  <c r="J8" i="34"/>
  <c r="P7" i="34"/>
  <c r="O7" i="34"/>
  <c r="N7" i="34"/>
  <c r="M7" i="34"/>
  <c r="L7" i="34"/>
  <c r="K7" i="34"/>
  <c r="J7" i="34"/>
  <c r="P6" i="34"/>
  <c r="O6" i="34"/>
  <c r="N6" i="34"/>
  <c r="M6" i="34"/>
  <c r="L6" i="34"/>
  <c r="K6" i="34"/>
  <c r="J6" i="34"/>
  <c r="P5" i="34"/>
  <c r="O5" i="34"/>
  <c r="N5" i="34"/>
  <c r="M5" i="34"/>
  <c r="L5" i="34"/>
  <c r="K5" i="34"/>
  <c r="J5" i="34"/>
  <c r="P4" i="34"/>
  <c r="O4" i="34"/>
  <c r="N4" i="34"/>
  <c r="M4" i="34"/>
  <c r="L4" i="34"/>
  <c r="K4" i="34"/>
  <c r="J4" i="34"/>
  <c r="P3" i="34"/>
  <c r="O3" i="34"/>
  <c r="N3" i="34"/>
  <c r="M3" i="34"/>
  <c r="L3" i="34"/>
  <c r="K3" i="34"/>
  <c r="J3" i="34"/>
  <c r="P51" i="33"/>
  <c r="O51" i="33"/>
  <c r="N51" i="33"/>
  <c r="M51" i="33"/>
  <c r="L51" i="33"/>
  <c r="K51" i="33"/>
  <c r="J51" i="33"/>
  <c r="P50" i="33"/>
  <c r="O50" i="33"/>
  <c r="N50" i="33"/>
  <c r="M50" i="33"/>
  <c r="L50" i="33"/>
  <c r="K50" i="33"/>
  <c r="J50" i="33"/>
  <c r="P49" i="33"/>
  <c r="O49" i="33"/>
  <c r="N49" i="33"/>
  <c r="M49" i="33"/>
  <c r="L49" i="33"/>
  <c r="K49" i="33"/>
  <c r="J49" i="33"/>
  <c r="P48" i="33"/>
  <c r="O48" i="33"/>
  <c r="N48" i="33"/>
  <c r="M48" i="33"/>
  <c r="L48" i="33"/>
  <c r="K48" i="33"/>
  <c r="J48" i="33"/>
  <c r="P47" i="33"/>
  <c r="O47" i="33"/>
  <c r="N47" i="33"/>
  <c r="M47" i="33"/>
  <c r="L47" i="33"/>
  <c r="K47" i="33"/>
  <c r="J47" i="33"/>
  <c r="P46" i="33"/>
  <c r="O46" i="33"/>
  <c r="N46" i="33"/>
  <c r="M46" i="33"/>
  <c r="L46" i="33"/>
  <c r="K46" i="33"/>
  <c r="J46" i="33"/>
  <c r="P45" i="33"/>
  <c r="O45" i="33"/>
  <c r="N45" i="33"/>
  <c r="M45" i="33"/>
  <c r="L45" i="33"/>
  <c r="K45" i="33"/>
  <c r="J45" i="33"/>
  <c r="P44" i="33"/>
  <c r="O44" i="33"/>
  <c r="N44" i="33"/>
  <c r="M44" i="33"/>
  <c r="L44" i="33"/>
  <c r="K44" i="33"/>
  <c r="J44" i="33"/>
  <c r="P43" i="33"/>
  <c r="O43" i="33"/>
  <c r="N43" i="33"/>
  <c r="M43" i="33"/>
  <c r="L43" i="33"/>
  <c r="K43" i="33"/>
  <c r="J43" i="33"/>
  <c r="P42" i="33"/>
  <c r="O42" i="33"/>
  <c r="N42" i="33"/>
  <c r="M42" i="33"/>
  <c r="L42" i="33"/>
  <c r="K42" i="33"/>
  <c r="J42" i="33"/>
  <c r="P41" i="33"/>
  <c r="O41" i="33"/>
  <c r="N41" i="33"/>
  <c r="M41" i="33"/>
  <c r="L41" i="33"/>
  <c r="K41" i="33"/>
  <c r="J41" i="33"/>
  <c r="P40" i="33"/>
  <c r="O40" i="33"/>
  <c r="N40" i="33"/>
  <c r="M40" i="33"/>
  <c r="L40" i="33"/>
  <c r="K40" i="33"/>
  <c r="J40" i="33"/>
  <c r="P39" i="33"/>
  <c r="O39" i="33"/>
  <c r="N39" i="33"/>
  <c r="M39" i="33"/>
  <c r="L39" i="33"/>
  <c r="K39" i="33"/>
  <c r="J39" i="33"/>
  <c r="P38" i="33"/>
  <c r="O38" i="33"/>
  <c r="N38" i="33"/>
  <c r="M38" i="33"/>
  <c r="L38" i="33"/>
  <c r="K38" i="33"/>
  <c r="J38" i="33"/>
  <c r="P37" i="33"/>
  <c r="O37" i="33"/>
  <c r="N37" i="33"/>
  <c r="M37" i="33"/>
  <c r="L37" i="33"/>
  <c r="K37" i="33"/>
  <c r="J37" i="33"/>
  <c r="P36" i="33"/>
  <c r="O36" i="33"/>
  <c r="N36" i="33"/>
  <c r="M36" i="33"/>
  <c r="L36" i="33"/>
  <c r="K36" i="33"/>
  <c r="J36" i="33"/>
  <c r="P35" i="33"/>
  <c r="O35" i="33"/>
  <c r="N35" i="33"/>
  <c r="M35" i="33"/>
  <c r="L35" i="33"/>
  <c r="K35" i="33"/>
  <c r="J35" i="33"/>
  <c r="P34" i="33"/>
  <c r="O34" i="33"/>
  <c r="N34" i="33"/>
  <c r="M34" i="33"/>
  <c r="L34" i="33"/>
  <c r="K34" i="33"/>
  <c r="J34" i="33"/>
  <c r="P33" i="33"/>
  <c r="O33" i="33"/>
  <c r="N33" i="33"/>
  <c r="M33" i="33"/>
  <c r="L33" i="33"/>
  <c r="K33" i="33"/>
  <c r="J33" i="33"/>
  <c r="P32" i="33"/>
  <c r="O32" i="33"/>
  <c r="N32" i="33"/>
  <c r="M32" i="33"/>
  <c r="L32" i="33"/>
  <c r="K32" i="33"/>
  <c r="J32" i="33"/>
  <c r="P31" i="33"/>
  <c r="O31" i="33"/>
  <c r="N31" i="33"/>
  <c r="M31" i="33"/>
  <c r="L31" i="33"/>
  <c r="K31" i="33"/>
  <c r="J31" i="33"/>
  <c r="P30" i="33"/>
  <c r="O30" i="33"/>
  <c r="N30" i="33"/>
  <c r="M30" i="33"/>
  <c r="L30" i="33"/>
  <c r="K30" i="33"/>
  <c r="J30" i="33"/>
  <c r="P29" i="33"/>
  <c r="O29" i="33"/>
  <c r="N29" i="33"/>
  <c r="M29" i="33"/>
  <c r="L29" i="33"/>
  <c r="K29" i="33"/>
  <c r="J29" i="33"/>
  <c r="P28" i="33"/>
  <c r="O28" i="33"/>
  <c r="N28" i="33"/>
  <c r="M28" i="33"/>
  <c r="L28" i="33"/>
  <c r="K28" i="33"/>
  <c r="J28" i="33"/>
  <c r="P27" i="33"/>
  <c r="O27" i="33"/>
  <c r="N27" i="33"/>
  <c r="M27" i="33"/>
  <c r="L27" i="33"/>
  <c r="K27" i="33"/>
  <c r="J27" i="33"/>
  <c r="P26" i="33"/>
  <c r="O26" i="33"/>
  <c r="N26" i="33"/>
  <c r="M26" i="33"/>
  <c r="L26" i="33"/>
  <c r="K26" i="33"/>
  <c r="J26" i="33"/>
  <c r="P25" i="33"/>
  <c r="O25" i="33"/>
  <c r="N25" i="33"/>
  <c r="M25" i="33"/>
  <c r="L25" i="33"/>
  <c r="K25" i="33"/>
  <c r="J25" i="33"/>
  <c r="P24" i="33"/>
  <c r="O24" i="33"/>
  <c r="N24" i="33"/>
  <c r="M24" i="33"/>
  <c r="L24" i="33"/>
  <c r="K24" i="33"/>
  <c r="J24" i="33"/>
  <c r="P23" i="33"/>
  <c r="O23" i="33"/>
  <c r="N23" i="33"/>
  <c r="M23" i="33"/>
  <c r="L23" i="33"/>
  <c r="K23" i="33"/>
  <c r="J23" i="33"/>
  <c r="P22" i="33"/>
  <c r="O22" i="33"/>
  <c r="N22" i="33"/>
  <c r="M22" i="33"/>
  <c r="L22" i="33"/>
  <c r="K22" i="33"/>
  <c r="J22" i="33"/>
  <c r="P21" i="33"/>
  <c r="O21" i="33"/>
  <c r="N21" i="33"/>
  <c r="M21" i="33"/>
  <c r="L21" i="33"/>
  <c r="K21" i="33"/>
  <c r="J21" i="33"/>
  <c r="P20" i="33"/>
  <c r="O20" i="33"/>
  <c r="N20" i="33"/>
  <c r="M20" i="33"/>
  <c r="L20" i="33"/>
  <c r="K20" i="33"/>
  <c r="J20" i="33"/>
  <c r="P19" i="33"/>
  <c r="O19" i="33"/>
  <c r="N19" i="33"/>
  <c r="M19" i="33"/>
  <c r="L19" i="33"/>
  <c r="K19" i="33"/>
  <c r="J19" i="33"/>
  <c r="P18" i="33"/>
  <c r="O18" i="33"/>
  <c r="N18" i="33"/>
  <c r="M18" i="33"/>
  <c r="L18" i="33"/>
  <c r="K18" i="33"/>
  <c r="J18" i="33"/>
  <c r="P17" i="33"/>
  <c r="O17" i="33"/>
  <c r="N17" i="33"/>
  <c r="M17" i="33"/>
  <c r="L17" i="33"/>
  <c r="K17" i="33"/>
  <c r="J17" i="33"/>
  <c r="P16" i="33"/>
  <c r="O16" i="33"/>
  <c r="N16" i="33"/>
  <c r="M16" i="33"/>
  <c r="L16" i="33"/>
  <c r="K16" i="33"/>
  <c r="J16" i="33"/>
  <c r="P15" i="33"/>
  <c r="O15" i="33"/>
  <c r="N15" i="33"/>
  <c r="M15" i="33"/>
  <c r="L15" i="33"/>
  <c r="K15" i="33"/>
  <c r="J15" i="33"/>
  <c r="P14" i="33"/>
  <c r="O14" i="33"/>
  <c r="N14" i="33"/>
  <c r="M14" i="33"/>
  <c r="L14" i="33"/>
  <c r="K14" i="33"/>
  <c r="J14" i="33"/>
  <c r="P13" i="33"/>
  <c r="O13" i="33"/>
  <c r="N13" i="33"/>
  <c r="M13" i="33"/>
  <c r="L13" i="33"/>
  <c r="K13" i="33"/>
  <c r="J13" i="33"/>
  <c r="P12" i="33"/>
  <c r="O12" i="33"/>
  <c r="N12" i="33"/>
  <c r="M12" i="33"/>
  <c r="L12" i="33"/>
  <c r="K12" i="33"/>
  <c r="J12" i="33"/>
  <c r="P11" i="33"/>
  <c r="O11" i="33"/>
  <c r="N11" i="33"/>
  <c r="M11" i="33"/>
  <c r="L11" i="33"/>
  <c r="K11" i="33"/>
  <c r="J11" i="33"/>
  <c r="P10" i="33"/>
  <c r="O10" i="33"/>
  <c r="N10" i="33"/>
  <c r="M10" i="33"/>
  <c r="L10" i="33"/>
  <c r="K10" i="33"/>
  <c r="J10" i="33"/>
  <c r="P9" i="33"/>
  <c r="O9" i="33"/>
  <c r="N9" i="33"/>
  <c r="M9" i="33"/>
  <c r="L9" i="33"/>
  <c r="K9" i="33"/>
  <c r="J9" i="33"/>
  <c r="P8" i="33"/>
  <c r="O8" i="33"/>
  <c r="N8" i="33"/>
  <c r="M8" i="33"/>
  <c r="L8" i="33"/>
  <c r="K8" i="33"/>
  <c r="J8" i="33"/>
  <c r="P7" i="33"/>
  <c r="O7" i="33"/>
  <c r="N7" i="33"/>
  <c r="M7" i="33"/>
  <c r="L7" i="33"/>
  <c r="K7" i="33"/>
  <c r="J7" i="33"/>
  <c r="P6" i="33"/>
  <c r="O6" i="33"/>
  <c r="N6" i="33"/>
  <c r="M6" i="33"/>
  <c r="L6" i="33"/>
  <c r="K6" i="33"/>
  <c r="J6" i="33"/>
  <c r="P5" i="33"/>
  <c r="O5" i="33"/>
  <c r="N5" i="33"/>
  <c r="M5" i="33"/>
  <c r="L5" i="33"/>
  <c r="K5" i="33"/>
  <c r="J5" i="33"/>
  <c r="P4" i="33"/>
  <c r="O4" i="33"/>
  <c r="N4" i="33"/>
  <c r="M4" i="33"/>
  <c r="L4" i="33"/>
  <c r="K4" i="33"/>
  <c r="J4" i="33"/>
  <c r="P3" i="33"/>
  <c r="O3" i="33"/>
  <c r="N3" i="33"/>
  <c r="M3" i="33"/>
  <c r="L3" i="33"/>
  <c r="K3" i="33"/>
  <c r="J3" i="33"/>
  <c r="P51" i="32"/>
  <c r="O51" i="32"/>
  <c r="N51" i="32"/>
  <c r="M51" i="32"/>
  <c r="L51" i="32"/>
  <c r="K51" i="32"/>
  <c r="J51" i="32"/>
  <c r="P50" i="32"/>
  <c r="O50" i="32"/>
  <c r="N50" i="32"/>
  <c r="M50" i="32"/>
  <c r="L50" i="32"/>
  <c r="K50" i="32"/>
  <c r="J50" i="32"/>
  <c r="P49" i="32"/>
  <c r="O49" i="32"/>
  <c r="N49" i="32"/>
  <c r="M49" i="32"/>
  <c r="L49" i="32"/>
  <c r="K49" i="32"/>
  <c r="J49" i="32"/>
  <c r="P48" i="32"/>
  <c r="O48" i="32"/>
  <c r="N48" i="32"/>
  <c r="M48" i="32"/>
  <c r="L48" i="32"/>
  <c r="K48" i="32"/>
  <c r="J48" i="32"/>
  <c r="P47" i="32"/>
  <c r="O47" i="32"/>
  <c r="N47" i="32"/>
  <c r="M47" i="32"/>
  <c r="L47" i="32"/>
  <c r="K47" i="32"/>
  <c r="J47" i="32"/>
  <c r="P46" i="32"/>
  <c r="O46" i="32"/>
  <c r="N46" i="32"/>
  <c r="M46" i="32"/>
  <c r="L46" i="32"/>
  <c r="K46" i="32"/>
  <c r="J46" i="32"/>
  <c r="P45" i="32"/>
  <c r="O45" i="32"/>
  <c r="N45" i="32"/>
  <c r="M45" i="32"/>
  <c r="L45" i="32"/>
  <c r="K45" i="32"/>
  <c r="J45" i="32"/>
  <c r="P44" i="32"/>
  <c r="O44" i="32"/>
  <c r="N44" i="32"/>
  <c r="M44" i="32"/>
  <c r="L44" i="32"/>
  <c r="K44" i="32"/>
  <c r="J44" i="32"/>
  <c r="P43" i="32"/>
  <c r="O43" i="32"/>
  <c r="N43" i="32"/>
  <c r="M43" i="32"/>
  <c r="L43" i="32"/>
  <c r="K43" i="32"/>
  <c r="J43" i="32"/>
  <c r="P42" i="32"/>
  <c r="O42" i="32"/>
  <c r="N42" i="32"/>
  <c r="M42" i="32"/>
  <c r="L42" i="32"/>
  <c r="K42" i="32"/>
  <c r="J42" i="32"/>
  <c r="P41" i="32"/>
  <c r="O41" i="32"/>
  <c r="N41" i="32"/>
  <c r="M41" i="32"/>
  <c r="L41" i="32"/>
  <c r="K41" i="32"/>
  <c r="J41" i="32"/>
  <c r="P40" i="32"/>
  <c r="O40" i="32"/>
  <c r="N40" i="32"/>
  <c r="M40" i="32"/>
  <c r="L40" i="32"/>
  <c r="K40" i="32"/>
  <c r="J40" i="32"/>
  <c r="P39" i="32"/>
  <c r="O39" i="32"/>
  <c r="N39" i="32"/>
  <c r="M39" i="32"/>
  <c r="L39" i="32"/>
  <c r="K39" i="32"/>
  <c r="J39" i="32"/>
  <c r="P38" i="32"/>
  <c r="O38" i="32"/>
  <c r="N38" i="32"/>
  <c r="M38" i="32"/>
  <c r="L38" i="32"/>
  <c r="K38" i="32"/>
  <c r="J38" i="32"/>
  <c r="P37" i="32"/>
  <c r="O37" i="32"/>
  <c r="N37" i="32"/>
  <c r="M37" i="32"/>
  <c r="L37" i="32"/>
  <c r="K37" i="32"/>
  <c r="J37" i="32"/>
  <c r="P36" i="32"/>
  <c r="O36" i="32"/>
  <c r="N36" i="32"/>
  <c r="M36" i="32"/>
  <c r="L36" i="32"/>
  <c r="K36" i="32"/>
  <c r="J36" i="32"/>
  <c r="P35" i="32"/>
  <c r="O35" i="32"/>
  <c r="N35" i="32"/>
  <c r="M35" i="32"/>
  <c r="L35" i="32"/>
  <c r="K35" i="32"/>
  <c r="J35" i="32"/>
  <c r="P34" i="32"/>
  <c r="O34" i="32"/>
  <c r="N34" i="32"/>
  <c r="M34" i="32"/>
  <c r="L34" i="32"/>
  <c r="K34" i="32"/>
  <c r="J34" i="32"/>
  <c r="P33" i="32"/>
  <c r="O33" i="32"/>
  <c r="N33" i="32"/>
  <c r="M33" i="32"/>
  <c r="L33" i="32"/>
  <c r="K33" i="32"/>
  <c r="J33" i="32"/>
  <c r="P32" i="32"/>
  <c r="O32" i="32"/>
  <c r="N32" i="32"/>
  <c r="M32" i="32"/>
  <c r="L32" i="32"/>
  <c r="K32" i="32"/>
  <c r="J32" i="32"/>
  <c r="P31" i="32"/>
  <c r="O31" i="32"/>
  <c r="N31" i="32"/>
  <c r="M31" i="32"/>
  <c r="L31" i="32"/>
  <c r="K31" i="32"/>
  <c r="J31" i="32"/>
  <c r="P30" i="32"/>
  <c r="O30" i="32"/>
  <c r="N30" i="32"/>
  <c r="M30" i="32"/>
  <c r="L30" i="32"/>
  <c r="K30" i="32"/>
  <c r="J30" i="32"/>
  <c r="P29" i="32"/>
  <c r="O29" i="32"/>
  <c r="N29" i="32"/>
  <c r="M29" i="32"/>
  <c r="L29" i="32"/>
  <c r="K29" i="32"/>
  <c r="J29" i="32"/>
  <c r="P28" i="32"/>
  <c r="O28" i="32"/>
  <c r="N28" i="32"/>
  <c r="M28" i="32"/>
  <c r="L28" i="32"/>
  <c r="K28" i="32"/>
  <c r="J28" i="32"/>
  <c r="P27" i="32"/>
  <c r="O27" i="32"/>
  <c r="N27" i="32"/>
  <c r="M27" i="32"/>
  <c r="L27" i="32"/>
  <c r="K27" i="32"/>
  <c r="J27" i="32"/>
  <c r="P26" i="32"/>
  <c r="O26" i="32"/>
  <c r="N26" i="32"/>
  <c r="M26" i="32"/>
  <c r="L26" i="32"/>
  <c r="K26" i="32"/>
  <c r="J26" i="32"/>
  <c r="P25" i="32"/>
  <c r="O25" i="32"/>
  <c r="N25" i="32"/>
  <c r="M25" i="32"/>
  <c r="L25" i="32"/>
  <c r="K25" i="32"/>
  <c r="J25" i="32"/>
  <c r="P24" i="32"/>
  <c r="O24" i="32"/>
  <c r="N24" i="32"/>
  <c r="M24" i="32"/>
  <c r="L24" i="32"/>
  <c r="K24" i="32"/>
  <c r="J24" i="32"/>
  <c r="P23" i="32"/>
  <c r="O23" i="32"/>
  <c r="N23" i="32"/>
  <c r="M23" i="32"/>
  <c r="L23" i="32"/>
  <c r="K23" i="32"/>
  <c r="J23" i="32"/>
  <c r="P22" i="32"/>
  <c r="O22" i="32"/>
  <c r="N22" i="32"/>
  <c r="M22" i="32"/>
  <c r="L22" i="32"/>
  <c r="K22" i="32"/>
  <c r="J22" i="32"/>
  <c r="P21" i="32"/>
  <c r="O21" i="32"/>
  <c r="N21" i="32"/>
  <c r="M21" i="32"/>
  <c r="L21" i="32"/>
  <c r="K21" i="32"/>
  <c r="J21" i="32"/>
  <c r="P20" i="32"/>
  <c r="O20" i="32"/>
  <c r="N20" i="32"/>
  <c r="M20" i="32"/>
  <c r="L20" i="32"/>
  <c r="K20" i="32"/>
  <c r="J20" i="32"/>
  <c r="P19" i="32"/>
  <c r="O19" i="32"/>
  <c r="N19" i="32"/>
  <c r="M19" i="32"/>
  <c r="L19" i="32"/>
  <c r="K19" i="32"/>
  <c r="J19" i="32"/>
  <c r="P18" i="32"/>
  <c r="O18" i="32"/>
  <c r="N18" i="32"/>
  <c r="M18" i="32"/>
  <c r="L18" i="32"/>
  <c r="K18" i="32"/>
  <c r="J18" i="32"/>
  <c r="P17" i="32"/>
  <c r="O17" i="32"/>
  <c r="N17" i="32"/>
  <c r="M17" i="32"/>
  <c r="L17" i="32"/>
  <c r="K17" i="32"/>
  <c r="J17" i="32"/>
  <c r="P16" i="32"/>
  <c r="O16" i="32"/>
  <c r="N16" i="32"/>
  <c r="M16" i="32"/>
  <c r="L16" i="32"/>
  <c r="K16" i="32"/>
  <c r="J16" i="32"/>
  <c r="P15" i="32"/>
  <c r="O15" i="32"/>
  <c r="N15" i="32"/>
  <c r="M15" i="32"/>
  <c r="L15" i="32"/>
  <c r="K15" i="32"/>
  <c r="J15" i="32"/>
  <c r="P14" i="32"/>
  <c r="O14" i="32"/>
  <c r="N14" i="32"/>
  <c r="M14" i="32"/>
  <c r="L14" i="32"/>
  <c r="K14" i="32"/>
  <c r="J14" i="32"/>
  <c r="P13" i="32"/>
  <c r="O13" i="32"/>
  <c r="N13" i="32"/>
  <c r="M13" i="32"/>
  <c r="L13" i="32"/>
  <c r="K13" i="32"/>
  <c r="J13" i="32"/>
  <c r="P12" i="32"/>
  <c r="O12" i="32"/>
  <c r="N12" i="32"/>
  <c r="M12" i="32"/>
  <c r="L12" i="32"/>
  <c r="K12" i="32"/>
  <c r="J12" i="32"/>
  <c r="P11" i="32"/>
  <c r="O11" i="32"/>
  <c r="N11" i="32"/>
  <c r="M11" i="32"/>
  <c r="L11" i="32"/>
  <c r="K11" i="32"/>
  <c r="J11" i="32"/>
  <c r="P10" i="32"/>
  <c r="O10" i="32"/>
  <c r="N10" i="32"/>
  <c r="M10" i="32"/>
  <c r="L10" i="32"/>
  <c r="K10" i="32"/>
  <c r="J10" i="32"/>
  <c r="P9" i="32"/>
  <c r="O9" i="32"/>
  <c r="N9" i="32"/>
  <c r="M9" i="32"/>
  <c r="L9" i="32"/>
  <c r="K9" i="32"/>
  <c r="J9" i="32"/>
  <c r="P8" i="32"/>
  <c r="O8" i="32"/>
  <c r="N8" i="32"/>
  <c r="M8" i="32"/>
  <c r="L8" i="32"/>
  <c r="K8" i="32"/>
  <c r="J8" i="32"/>
  <c r="P7" i="32"/>
  <c r="O7" i="32"/>
  <c r="N7" i="32"/>
  <c r="M7" i="32"/>
  <c r="L7" i="32"/>
  <c r="K7" i="32"/>
  <c r="J7" i="32"/>
  <c r="P6" i="32"/>
  <c r="O6" i="32"/>
  <c r="N6" i="32"/>
  <c r="M6" i="32"/>
  <c r="L6" i="32"/>
  <c r="K6" i="32"/>
  <c r="J6" i="32"/>
  <c r="P5" i="32"/>
  <c r="O5" i="32"/>
  <c r="N5" i="32"/>
  <c r="M5" i="32"/>
  <c r="L5" i="32"/>
  <c r="K5" i="32"/>
  <c r="J5" i="32"/>
  <c r="P4" i="32"/>
  <c r="O4" i="32"/>
  <c r="N4" i="32"/>
  <c r="M4" i="32"/>
  <c r="L4" i="32"/>
  <c r="K4" i="32"/>
  <c r="J4" i="32"/>
  <c r="P3" i="32"/>
  <c r="O3" i="32"/>
  <c r="N3" i="32"/>
  <c r="M3" i="32"/>
  <c r="L3" i="32"/>
  <c r="K3" i="32"/>
  <c r="J3" i="32"/>
  <c r="P51" i="31"/>
  <c r="O51" i="31"/>
  <c r="N51" i="31"/>
  <c r="M51" i="31"/>
  <c r="L51" i="31"/>
  <c r="K51" i="31"/>
  <c r="J51" i="31"/>
  <c r="P50" i="31"/>
  <c r="O50" i="31"/>
  <c r="N50" i="31"/>
  <c r="M50" i="31"/>
  <c r="L50" i="31"/>
  <c r="K50" i="31"/>
  <c r="J50" i="31"/>
  <c r="P49" i="31"/>
  <c r="O49" i="31"/>
  <c r="N49" i="31"/>
  <c r="M49" i="31"/>
  <c r="L49" i="31"/>
  <c r="K49" i="31"/>
  <c r="J49" i="31"/>
  <c r="P48" i="31"/>
  <c r="O48" i="31"/>
  <c r="N48" i="31"/>
  <c r="M48" i="31"/>
  <c r="L48" i="31"/>
  <c r="K48" i="31"/>
  <c r="J48" i="31"/>
  <c r="P47" i="31"/>
  <c r="O47" i="31"/>
  <c r="N47" i="31"/>
  <c r="M47" i="31"/>
  <c r="L47" i="31"/>
  <c r="K47" i="31"/>
  <c r="J47" i="31"/>
  <c r="P46" i="31"/>
  <c r="O46" i="31"/>
  <c r="N46" i="31"/>
  <c r="M46" i="31"/>
  <c r="L46" i="31"/>
  <c r="K46" i="31"/>
  <c r="J46" i="31"/>
  <c r="P45" i="31"/>
  <c r="O45" i="31"/>
  <c r="N45" i="31"/>
  <c r="M45" i="31"/>
  <c r="L45" i="31"/>
  <c r="K45" i="31"/>
  <c r="J45" i="31"/>
  <c r="P44" i="31"/>
  <c r="O44" i="31"/>
  <c r="N44" i="31"/>
  <c r="M44" i="31"/>
  <c r="L44" i="31"/>
  <c r="K44" i="31"/>
  <c r="J44" i="31"/>
  <c r="P43" i="31"/>
  <c r="O43" i="31"/>
  <c r="N43" i="31"/>
  <c r="M43" i="31"/>
  <c r="L43" i="31"/>
  <c r="K43" i="31"/>
  <c r="J43" i="31"/>
  <c r="P42" i="31"/>
  <c r="O42" i="31"/>
  <c r="N42" i="31"/>
  <c r="M42" i="31"/>
  <c r="L42" i="31"/>
  <c r="K42" i="31"/>
  <c r="J42" i="31"/>
  <c r="P41" i="31"/>
  <c r="O41" i="31"/>
  <c r="N41" i="31"/>
  <c r="M41" i="31"/>
  <c r="L41" i="31"/>
  <c r="K41" i="31"/>
  <c r="J41" i="31"/>
  <c r="P40" i="31"/>
  <c r="O40" i="31"/>
  <c r="N40" i="31"/>
  <c r="M40" i="31"/>
  <c r="L40" i="31"/>
  <c r="K40" i="31"/>
  <c r="J40" i="31"/>
  <c r="P39" i="31"/>
  <c r="O39" i="31"/>
  <c r="N39" i="31"/>
  <c r="M39" i="31"/>
  <c r="L39" i="31"/>
  <c r="K39" i="31"/>
  <c r="J39" i="31"/>
  <c r="P38" i="31"/>
  <c r="O38" i="31"/>
  <c r="N38" i="31"/>
  <c r="M38" i="31"/>
  <c r="L38" i="31"/>
  <c r="K38" i="31"/>
  <c r="J38" i="31"/>
  <c r="P37" i="31"/>
  <c r="O37" i="31"/>
  <c r="N37" i="31"/>
  <c r="M37" i="31"/>
  <c r="L37" i="31"/>
  <c r="K37" i="31"/>
  <c r="J37" i="31"/>
  <c r="P36" i="31"/>
  <c r="O36" i="31"/>
  <c r="N36" i="31"/>
  <c r="M36" i="31"/>
  <c r="L36" i="31"/>
  <c r="K36" i="31"/>
  <c r="J36" i="31"/>
  <c r="P35" i="31"/>
  <c r="O35" i="31"/>
  <c r="N35" i="31"/>
  <c r="M35" i="31"/>
  <c r="L35" i="31"/>
  <c r="K35" i="31"/>
  <c r="J35" i="31"/>
  <c r="P34" i="31"/>
  <c r="O34" i="31"/>
  <c r="N34" i="31"/>
  <c r="M34" i="31"/>
  <c r="L34" i="31"/>
  <c r="K34" i="31"/>
  <c r="J34" i="31"/>
  <c r="P33" i="31"/>
  <c r="O33" i="31"/>
  <c r="N33" i="31"/>
  <c r="M33" i="31"/>
  <c r="L33" i="31"/>
  <c r="K33" i="31"/>
  <c r="J33" i="31"/>
  <c r="P32" i="31"/>
  <c r="O32" i="31"/>
  <c r="N32" i="31"/>
  <c r="M32" i="31"/>
  <c r="L32" i="31"/>
  <c r="K32" i="31"/>
  <c r="J32" i="31"/>
  <c r="P31" i="31"/>
  <c r="O31" i="31"/>
  <c r="N31" i="31"/>
  <c r="M31" i="31"/>
  <c r="L31" i="31"/>
  <c r="K31" i="31"/>
  <c r="J31" i="31"/>
  <c r="P30" i="31"/>
  <c r="O30" i="31"/>
  <c r="N30" i="31"/>
  <c r="M30" i="31"/>
  <c r="L30" i="31"/>
  <c r="K30" i="31"/>
  <c r="J30" i="31"/>
  <c r="P29" i="31"/>
  <c r="O29" i="31"/>
  <c r="N29" i="31"/>
  <c r="M29" i="31"/>
  <c r="L29" i="31"/>
  <c r="K29" i="31"/>
  <c r="J29" i="31"/>
  <c r="P28" i="31"/>
  <c r="O28" i="31"/>
  <c r="N28" i="31"/>
  <c r="M28" i="31"/>
  <c r="L28" i="31"/>
  <c r="K28" i="31"/>
  <c r="J28" i="31"/>
  <c r="P27" i="31"/>
  <c r="O27" i="31"/>
  <c r="N27" i="31"/>
  <c r="M27" i="31"/>
  <c r="L27" i="31"/>
  <c r="K27" i="31"/>
  <c r="J27" i="31"/>
  <c r="P26" i="31"/>
  <c r="O26" i="31"/>
  <c r="N26" i="31"/>
  <c r="M26" i="31"/>
  <c r="L26" i="31"/>
  <c r="K26" i="31"/>
  <c r="J26" i="31"/>
  <c r="P25" i="31"/>
  <c r="O25" i="31"/>
  <c r="N25" i="31"/>
  <c r="M25" i="31"/>
  <c r="L25" i="31"/>
  <c r="K25" i="31"/>
  <c r="J25" i="31"/>
  <c r="P24" i="31"/>
  <c r="O24" i="31"/>
  <c r="N24" i="31"/>
  <c r="M24" i="31"/>
  <c r="L24" i="31"/>
  <c r="K24" i="31"/>
  <c r="J24" i="31"/>
  <c r="P23" i="31"/>
  <c r="O23" i="31"/>
  <c r="N23" i="31"/>
  <c r="M23" i="31"/>
  <c r="L23" i="31"/>
  <c r="K23" i="31"/>
  <c r="J23" i="31"/>
  <c r="P22" i="31"/>
  <c r="O22" i="31"/>
  <c r="N22" i="31"/>
  <c r="M22" i="31"/>
  <c r="L22" i="31"/>
  <c r="K22" i="31"/>
  <c r="J22" i="31"/>
  <c r="P21" i="31"/>
  <c r="O21" i="31"/>
  <c r="N21" i="31"/>
  <c r="M21" i="31"/>
  <c r="L21" i="31"/>
  <c r="K21" i="31"/>
  <c r="J21" i="31"/>
  <c r="P20" i="31"/>
  <c r="O20" i="31"/>
  <c r="N20" i="31"/>
  <c r="M20" i="31"/>
  <c r="L20" i="31"/>
  <c r="K20" i="31"/>
  <c r="J20" i="31"/>
  <c r="P19" i="31"/>
  <c r="O19" i="31"/>
  <c r="N19" i="31"/>
  <c r="M19" i="31"/>
  <c r="L19" i="31"/>
  <c r="K19" i="31"/>
  <c r="J19" i="31"/>
  <c r="P18" i="31"/>
  <c r="O18" i="31"/>
  <c r="N18" i="31"/>
  <c r="M18" i="31"/>
  <c r="L18" i="31"/>
  <c r="K18" i="31"/>
  <c r="J18" i="31"/>
  <c r="P17" i="31"/>
  <c r="O17" i="31"/>
  <c r="N17" i="31"/>
  <c r="M17" i="31"/>
  <c r="L17" i="31"/>
  <c r="K17" i="31"/>
  <c r="J17" i="31"/>
  <c r="P16" i="31"/>
  <c r="O16" i="31"/>
  <c r="N16" i="31"/>
  <c r="M16" i="31"/>
  <c r="L16" i="31"/>
  <c r="K16" i="31"/>
  <c r="J16" i="31"/>
  <c r="P15" i="31"/>
  <c r="O15" i="31"/>
  <c r="N15" i="31"/>
  <c r="M15" i="31"/>
  <c r="L15" i="31"/>
  <c r="K15" i="31"/>
  <c r="J15" i="31"/>
  <c r="P14" i="31"/>
  <c r="O14" i="31"/>
  <c r="N14" i="31"/>
  <c r="M14" i="31"/>
  <c r="L14" i="31"/>
  <c r="K14" i="31"/>
  <c r="J14" i="31"/>
  <c r="P13" i="31"/>
  <c r="O13" i="31"/>
  <c r="N13" i="31"/>
  <c r="M13" i="31"/>
  <c r="L13" i="31"/>
  <c r="K13" i="31"/>
  <c r="J13" i="31"/>
  <c r="P12" i="31"/>
  <c r="O12" i="31"/>
  <c r="N12" i="31"/>
  <c r="M12" i="31"/>
  <c r="L12" i="31"/>
  <c r="K12" i="31"/>
  <c r="J12" i="31"/>
  <c r="P11" i="31"/>
  <c r="O11" i="31"/>
  <c r="N11" i="31"/>
  <c r="M11" i="31"/>
  <c r="L11" i="31"/>
  <c r="K11" i="31"/>
  <c r="J11" i="31"/>
  <c r="P10" i="31"/>
  <c r="O10" i="31"/>
  <c r="N10" i="31"/>
  <c r="M10" i="31"/>
  <c r="L10" i="31"/>
  <c r="K10" i="31"/>
  <c r="J10" i="31"/>
  <c r="P9" i="31"/>
  <c r="O9" i="31"/>
  <c r="N9" i="31"/>
  <c r="M9" i="31"/>
  <c r="L9" i="31"/>
  <c r="K9" i="31"/>
  <c r="J9" i="31"/>
  <c r="P8" i="31"/>
  <c r="O8" i="31"/>
  <c r="N8" i="31"/>
  <c r="M8" i="31"/>
  <c r="L8" i="31"/>
  <c r="K8" i="31"/>
  <c r="J8" i="31"/>
  <c r="P7" i="31"/>
  <c r="O7" i="31"/>
  <c r="N7" i="31"/>
  <c r="M7" i="31"/>
  <c r="L7" i="31"/>
  <c r="K7" i="31"/>
  <c r="J7" i="31"/>
  <c r="P6" i="31"/>
  <c r="O6" i="31"/>
  <c r="N6" i="31"/>
  <c r="M6" i="31"/>
  <c r="L6" i="31"/>
  <c r="K6" i="31"/>
  <c r="J6" i="31"/>
  <c r="P5" i="31"/>
  <c r="O5" i="31"/>
  <c r="N5" i="31"/>
  <c r="M5" i="31"/>
  <c r="L5" i="31"/>
  <c r="K5" i="31"/>
  <c r="J5" i="31"/>
  <c r="P4" i="31"/>
  <c r="O4" i="31"/>
  <c r="N4" i="31"/>
  <c r="M4" i="31"/>
  <c r="L4" i="31"/>
  <c r="K4" i="31"/>
  <c r="J4" i="31"/>
  <c r="P3" i="31"/>
  <c r="O3" i="31"/>
  <c r="N3" i="31"/>
  <c r="M3" i="31"/>
  <c r="L3" i="31"/>
  <c r="K3" i="31"/>
  <c r="J3" i="31"/>
  <c r="P51" i="30"/>
  <c r="O51" i="30"/>
  <c r="N51" i="30"/>
  <c r="M51" i="30"/>
  <c r="L51" i="30"/>
  <c r="K51" i="30"/>
  <c r="J51" i="30"/>
  <c r="P50" i="30"/>
  <c r="O50" i="30"/>
  <c r="N50" i="30"/>
  <c r="M50" i="30"/>
  <c r="L50" i="30"/>
  <c r="K50" i="30"/>
  <c r="J50" i="30"/>
  <c r="P49" i="30"/>
  <c r="O49" i="30"/>
  <c r="N49" i="30"/>
  <c r="M49" i="30"/>
  <c r="L49" i="30"/>
  <c r="K49" i="30"/>
  <c r="J49" i="30"/>
  <c r="P48" i="30"/>
  <c r="O48" i="30"/>
  <c r="N48" i="30"/>
  <c r="M48" i="30"/>
  <c r="L48" i="30"/>
  <c r="K48" i="30"/>
  <c r="J48" i="30"/>
  <c r="P47" i="30"/>
  <c r="O47" i="30"/>
  <c r="N47" i="30"/>
  <c r="M47" i="30"/>
  <c r="L47" i="30"/>
  <c r="K47" i="30"/>
  <c r="J47" i="30"/>
  <c r="P46" i="30"/>
  <c r="O46" i="30"/>
  <c r="N46" i="30"/>
  <c r="M46" i="30"/>
  <c r="L46" i="30"/>
  <c r="K46" i="30"/>
  <c r="J46" i="30"/>
  <c r="P45" i="30"/>
  <c r="O45" i="30"/>
  <c r="N45" i="30"/>
  <c r="M45" i="30"/>
  <c r="L45" i="30"/>
  <c r="K45" i="30"/>
  <c r="J45" i="30"/>
  <c r="P44" i="30"/>
  <c r="O44" i="30"/>
  <c r="N44" i="30"/>
  <c r="M44" i="30"/>
  <c r="L44" i="30"/>
  <c r="K44" i="30"/>
  <c r="J44" i="30"/>
  <c r="P43" i="30"/>
  <c r="O43" i="30"/>
  <c r="N43" i="30"/>
  <c r="M43" i="30"/>
  <c r="L43" i="30"/>
  <c r="K43" i="30"/>
  <c r="J43" i="30"/>
  <c r="P42" i="30"/>
  <c r="O42" i="30"/>
  <c r="N42" i="30"/>
  <c r="M42" i="30"/>
  <c r="L42" i="30"/>
  <c r="K42" i="30"/>
  <c r="J42" i="30"/>
  <c r="P41" i="30"/>
  <c r="O41" i="30"/>
  <c r="N41" i="30"/>
  <c r="M41" i="30"/>
  <c r="L41" i="30"/>
  <c r="K41" i="30"/>
  <c r="J41" i="30"/>
  <c r="P40" i="30"/>
  <c r="O40" i="30"/>
  <c r="N40" i="30"/>
  <c r="M40" i="30"/>
  <c r="L40" i="30"/>
  <c r="K40" i="30"/>
  <c r="J40" i="30"/>
  <c r="P39" i="30"/>
  <c r="O39" i="30"/>
  <c r="N39" i="30"/>
  <c r="M39" i="30"/>
  <c r="L39" i="30"/>
  <c r="K39" i="30"/>
  <c r="J39" i="30"/>
  <c r="P38" i="30"/>
  <c r="O38" i="30"/>
  <c r="N38" i="30"/>
  <c r="M38" i="30"/>
  <c r="L38" i="30"/>
  <c r="K38" i="30"/>
  <c r="J38" i="30"/>
  <c r="P37" i="30"/>
  <c r="O37" i="30"/>
  <c r="N37" i="30"/>
  <c r="M37" i="30"/>
  <c r="L37" i="30"/>
  <c r="K37" i="30"/>
  <c r="J37" i="30"/>
  <c r="P36" i="30"/>
  <c r="O36" i="30"/>
  <c r="N36" i="30"/>
  <c r="M36" i="30"/>
  <c r="L36" i="30"/>
  <c r="K36" i="30"/>
  <c r="J36" i="30"/>
  <c r="P35" i="30"/>
  <c r="O35" i="30"/>
  <c r="N35" i="30"/>
  <c r="M35" i="30"/>
  <c r="L35" i="30"/>
  <c r="K35" i="30"/>
  <c r="J35" i="30"/>
  <c r="P34" i="30"/>
  <c r="O34" i="30"/>
  <c r="N34" i="30"/>
  <c r="M34" i="30"/>
  <c r="L34" i="30"/>
  <c r="K34" i="30"/>
  <c r="J34" i="30"/>
  <c r="P33" i="30"/>
  <c r="O33" i="30"/>
  <c r="N33" i="30"/>
  <c r="M33" i="30"/>
  <c r="L33" i="30"/>
  <c r="K33" i="30"/>
  <c r="J33" i="30"/>
  <c r="P32" i="30"/>
  <c r="O32" i="30"/>
  <c r="N32" i="30"/>
  <c r="M32" i="30"/>
  <c r="L32" i="30"/>
  <c r="K32" i="30"/>
  <c r="J32" i="30"/>
  <c r="P31" i="30"/>
  <c r="O31" i="30"/>
  <c r="N31" i="30"/>
  <c r="M31" i="30"/>
  <c r="L31" i="30"/>
  <c r="K31" i="30"/>
  <c r="J31" i="30"/>
  <c r="P30" i="30"/>
  <c r="O30" i="30"/>
  <c r="N30" i="30"/>
  <c r="M30" i="30"/>
  <c r="L30" i="30"/>
  <c r="K30" i="30"/>
  <c r="J30" i="30"/>
  <c r="P29" i="30"/>
  <c r="O29" i="30"/>
  <c r="N29" i="30"/>
  <c r="M29" i="30"/>
  <c r="L29" i="30"/>
  <c r="K29" i="30"/>
  <c r="J29" i="30"/>
  <c r="P28" i="30"/>
  <c r="O28" i="30"/>
  <c r="N28" i="30"/>
  <c r="M28" i="30"/>
  <c r="L28" i="30"/>
  <c r="K28" i="30"/>
  <c r="J28" i="30"/>
  <c r="P27" i="30"/>
  <c r="O27" i="30"/>
  <c r="N27" i="30"/>
  <c r="M27" i="30"/>
  <c r="L27" i="30"/>
  <c r="K27" i="30"/>
  <c r="J27" i="30"/>
  <c r="P26" i="30"/>
  <c r="O26" i="30"/>
  <c r="N26" i="30"/>
  <c r="M26" i="30"/>
  <c r="L26" i="30"/>
  <c r="K26" i="30"/>
  <c r="J26" i="30"/>
  <c r="P25" i="30"/>
  <c r="O25" i="30"/>
  <c r="N25" i="30"/>
  <c r="M25" i="30"/>
  <c r="L25" i="30"/>
  <c r="K25" i="30"/>
  <c r="J25" i="30"/>
  <c r="P24" i="30"/>
  <c r="O24" i="30"/>
  <c r="N24" i="30"/>
  <c r="M24" i="30"/>
  <c r="L24" i="30"/>
  <c r="K24" i="30"/>
  <c r="J24" i="30"/>
  <c r="P23" i="30"/>
  <c r="O23" i="30"/>
  <c r="N23" i="30"/>
  <c r="M23" i="30"/>
  <c r="L23" i="30"/>
  <c r="K23" i="30"/>
  <c r="J23" i="30"/>
  <c r="P22" i="30"/>
  <c r="O22" i="30"/>
  <c r="N22" i="30"/>
  <c r="M22" i="30"/>
  <c r="L22" i="30"/>
  <c r="K22" i="30"/>
  <c r="J22" i="30"/>
  <c r="P21" i="30"/>
  <c r="O21" i="30"/>
  <c r="N21" i="30"/>
  <c r="M21" i="30"/>
  <c r="L21" i="30"/>
  <c r="K21" i="30"/>
  <c r="J21" i="30"/>
  <c r="P20" i="30"/>
  <c r="O20" i="30"/>
  <c r="N20" i="30"/>
  <c r="M20" i="30"/>
  <c r="L20" i="30"/>
  <c r="K20" i="30"/>
  <c r="J20" i="30"/>
  <c r="P19" i="30"/>
  <c r="O19" i="30"/>
  <c r="N19" i="30"/>
  <c r="M19" i="30"/>
  <c r="L19" i="30"/>
  <c r="K19" i="30"/>
  <c r="J19" i="30"/>
  <c r="P18" i="30"/>
  <c r="O18" i="30"/>
  <c r="N18" i="30"/>
  <c r="M18" i="30"/>
  <c r="L18" i="30"/>
  <c r="K18" i="30"/>
  <c r="J18" i="30"/>
  <c r="P17" i="30"/>
  <c r="O17" i="30"/>
  <c r="N17" i="30"/>
  <c r="M17" i="30"/>
  <c r="L17" i="30"/>
  <c r="K17" i="30"/>
  <c r="J17" i="30"/>
  <c r="P16" i="30"/>
  <c r="O16" i="30"/>
  <c r="N16" i="30"/>
  <c r="M16" i="30"/>
  <c r="L16" i="30"/>
  <c r="K16" i="30"/>
  <c r="J16" i="30"/>
  <c r="P15" i="30"/>
  <c r="O15" i="30"/>
  <c r="N15" i="30"/>
  <c r="M15" i="30"/>
  <c r="L15" i="30"/>
  <c r="K15" i="30"/>
  <c r="J15" i="30"/>
  <c r="P14" i="30"/>
  <c r="O14" i="30"/>
  <c r="N14" i="30"/>
  <c r="M14" i="30"/>
  <c r="L14" i="30"/>
  <c r="K14" i="30"/>
  <c r="J14" i="30"/>
  <c r="P13" i="30"/>
  <c r="O13" i="30"/>
  <c r="N13" i="30"/>
  <c r="M13" i="30"/>
  <c r="L13" i="30"/>
  <c r="K13" i="30"/>
  <c r="J13" i="30"/>
  <c r="P12" i="30"/>
  <c r="O12" i="30"/>
  <c r="N12" i="30"/>
  <c r="M12" i="30"/>
  <c r="L12" i="30"/>
  <c r="K12" i="30"/>
  <c r="J12" i="30"/>
  <c r="P11" i="30"/>
  <c r="O11" i="30"/>
  <c r="N11" i="30"/>
  <c r="M11" i="30"/>
  <c r="L11" i="30"/>
  <c r="K11" i="30"/>
  <c r="J11" i="30"/>
  <c r="P10" i="30"/>
  <c r="O10" i="30"/>
  <c r="N10" i="30"/>
  <c r="M10" i="30"/>
  <c r="L10" i="30"/>
  <c r="K10" i="30"/>
  <c r="J10" i="30"/>
  <c r="P9" i="30"/>
  <c r="O9" i="30"/>
  <c r="N9" i="30"/>
  <c r="M9" i="30"/>
  <c r="L9" i="30"/>
  <c r="K9" i="30"/>
  <c r="J9" i="30"/>
  <c r="P8" i="30"/>
  <c r="O8" i="30"/>
  <c r="N8" i="30"/>
  <c r="M8" i="30"/>
  <c r="L8" i="30"/>
  <c r="K8" i="30"/>
  <c r="J8" i="30"/>
  <c r="P7" i="30"/>
  <c r="O7" i="30"/>
  <c r="N7" i="30"/>
  <c r="M7" i="30"/>
  <c r="L7" i="30"/>
  <c r="K7" i="30"/>
  <c r="J7" i="30"/>
  <c r="P6" i="30"/>
  <c r="O6" i="30"/>
  <c r="N6" i="30"/>
  <c r="M6" i="30"/>
  <c r="L6" i="30"/>
  <c r="K6" i="30"/>
  <c r="J6" i="30"/>
  <c r="P5" i="30"/>
  <c r="O5" i="30"/>
  <c r="N5" i="30"/>
  <c r="M5" i="30"/>
  <c r="L5" i="30"/>
  <c r="K5" i="30"/>
  <c r="J5" i="30"/>
  <c r="P4" i="30"/>
  <c r="O4" i="30"/>
  <c r="N4" i="30"/>
  <c r="M4" i="30"/>
  <c r="L4" i="30"/>
  <c r="K4" i="30"/>
  <c r="J4" i="30"/>
  <c r="P3" i="30"/>
  <c r="O3" i="30"/>
  <c r="N3" i="30"/>
  <c r="M3" i="30"/>
  <c r="L3" i="30"/>
  <c r="K3" i="30"/>
  <c r="J3" i="30"/>
  <c r="P51" i="29"/>
  <c r="O51" i="29"/>
  <c r="N51" i="29"/>
  <c r="M51" i="29"/>
  <c r="L51" i="29"/>
  <c r="K51" i="29"/>
  <c r="J51" i="29"/>
  <c r="P50" i="29"/>
  <c r="O50" i="29"/>
  <c r="N50" i="29"/>
  <c r="M50" i="29"/>
  <c r="L50" i="29"/>
  <c r="K50" i="29"/>
  <c r="J50" i="29"/>
  <c r="P49" i="29"/>
  <c r="O49" i="29"/>
  <c r="N49" i="29"/>
  <c r="M49" i="29"/>
  <c r="L49" i="29"/>
  <c r="K49" i="29"/>
  <c r="J49" i="29"/>
  <c r="P48" i="29"/>
  <c r="O48" i="29"/>
  <c r="N48" i="29"/>
  <c r="M48" i="29"/>
  <c r="L48" i="29"/>
  <c r="K48" i="29"/>
  <c r="J48" i="29"/>
  <c r="P47" i="29"/>
  <c r="O47" i="29"/>
  <c r="N47" i="29"/>
  <c r="M47" i="29"/>
  <c r="L47" i="29"/>
  <c r="K47" i="29"/>
  <c r="J47" i="29"/>
  <c r="P46" i="29"/>
  <c r="O46" i="29"/>
  <c r="N46" i="29"/>
  <c r="M46" i="29"/>
  <c r="L46" i="29"/>
  <c r="K46" i="29"/>
  <c r="J46" i="29"/>
  <c r="P45" i="29"/>
  <c r="O45" i="29"/>
  <c r="N45" i="29"/>
  <c r="M45" i="29"/>
  <c r="L45" i="29"/>
  <c r="K45" i="29"/>
  <c r="J45" i="29"/>
  <c r="P44" i="29"/>
  <c r="O44" i="29"/>
  <c r="N44" i="29"/>
  <c r="M44" i="29"/>
  <c r="L44" i="29"/>
  <c r="K44" i="29"/>
  <c r="J44" i="29"/>
  <c r="P43" i="29"/>
  <c r="O43" i="29"/>
  <c r="N43" i="29"/>
  <c r="M43" i="29"/>
  <c r="L43" i="29"/>
  <c r="K43" i="29"/>
  <c r="J43" i="29"/>
  <c r="P42" i="29"/>
  <c r="O42" i="29"/>
  <c r="N42" i="29"/>
  <c r="M42" i="29"/>
  <c r="L42" i="29"/>
  <c r="K42" i="29"/>
  <c r="J42" i="29"/>
  <c r="P41" i="29"/>
  <c r="O41" i="29"/>
  <c r="N41" i="29"/>
  <c r="M41" i="29"/>
  <c r="L41" i="29"/>
  <c r="K41" i="29"/>
  <c r="J41" i="29"/>
  <c r="P40" i="29"/>
  <c r="O40" i="29"/>
  <c r="N40" i="29"/>
  <c r="M40" i="29"/>
  <c r="L40" i="29"/>
  <c r="K40" i="29"/>
  <c r="J40" i="29"/>
  <c r="P39" i="29"/>
  <c r="O39" i="29"/>
  <c r="N39" i="29"/>
  <c r="M39" i="29"/>
  <c r="L39" i="29"/>
  <c r="K39" i="29"/>
  <c r="J39" i="29"/>
  <c r="P38" i="29"/>
  <c r="O38" i="29"/>
  <c r="N38" i="29"/>
  <c r="M38" i="29"/>
  <c r="L38" i="29"/>
  <c r="K38" i="29"/>
  <c r="J38" i="29"/>
  <c r="P37" i="29"/>
  <c r="O37" i="29"/>
  <c r="N37" i="29"/>
  <c r="M37" i="29"/>
  <c r="L37" i="29"/>
  <c r="K37" i="29"/>
  <c r="J37" i="29"/>
  <c r="P36" i="29"/>
  <c r="O36" i="29"/>
  <c r="N36" i="29"/>
  <c r="M36" i="29"/>
  <c r="L36" i="29"/>
  <c r="K36" i="29"/>
  <c r="J36" i="29"/>
  <c r="P35" i="29"/>
  <c r="O35" i="29"/>
  <c r="N35" i="29"/>
  <c r="M35" i="29"/>
  <c r="L35" i="29"/>
  <c r="K35" i="29"/>
  <c r="J35" i="29"/>
  <c r="P34" i="29"/>
  <c r="O34" i="29"/>
  <c r="N34" i="29"/>
  <c r="M34" i="29"/>
  <c r="L34" i="29"/>
  <c r="K34" i="29"/>
  <c r="J34" i="29"/>
  <c r="P33" i="29"/>
  <c r="O33" i="29"/>
  <c r="N33" i="29"/>
  <c r="M33" i="29"/>
  <c r="L33" i="29"/>
  <c r="K33" i="29"/>
  <c r="J33" i="29"/>
  <c r="P32" i="29"/>
  <c r="O32" i="29"/>
  <c r="N32" i="29"/>
  <c r="M32" i="29"/>
  <c r="L32" i="29"/>
  <c r="K32" i="29"/>
  <c r="J32" i="29"/>
  <c r="P31" i="29"/>
  <c r="O31" i="29"/>
  <c r="N31" i="29"/>
  <c r="M31" i="29"/>
  <c r="L31" i="29"/>
  <c r="K31" i="29"/>
  <c r="J31" i="29"/>
  <c r="P30" i="29"/>
  <c r="O30" i="29"/>
  <c r="N30" i="29"/>
  <c r="M30" i="29"/>
  <c r="L30" i="29"/>
  <c r="K30" i="29"/>
  <c r="J30" i="29"/>
  <c r="P29" i="29"/>
  <c r="O29" i="29"/>
  <c r="N29" i="29"/>
  <c r="M29" i="29"/>
  <c r="L29" i="29"/>
  <c r="K29" i="29"/>
  <c r="J29" i="29"/>
  <c r="P28" i="29"/>
  <c r="O28" i="29"/>
  <c r="N28" i="29"/>
  <c r="M28" i="29"/>
  <c r="L28" i="29"/>
  <c r="K28" i="29"/>
  <c r="J28" i="29"/>
  <c r="P27" i="29"/>
  <c r="O27" i="29"/>
  <c r="N27" i="29"/>
  <c r="M27" i="29"/>
  <c r="L27" i="29"/>
  <c r="K27" i="29"/>
  <c r="J27" i="29"/>
  <c r="P26" i="29"/>
  <c r="O26" i="29"/>
  <c r="N26" i="29"/>
  <c r="M26" i="29"/>
  <c r="L26" i="29"/>
  <c r="K26" i="29"/>
  <c r="J26" i="29"/>
  <c r="P25" i="29"/>
  <c r="O25" i="29"/>
  <c r="N25" i="29"/>
  <c r="M25" i="29"/>
  <c r="L25" i="29"/>
  <c r="K25" i="29"/>
  <c r="J25" i="29"/>
  <c r="P24" i="29"/>
  <c r="O24" i="29"/>
  <c r="N24" i="29"/>
  <c r="M24" i="29"/>
  <c r="L24" i="29"/>
  <c r="K24" i="29"/>
  <c r="J24" i="29"/>
  <c r="P23" i="29"/>
  <c r="O23" i="29"/>
  <c r="N23" i="29"/>
  <c r="M23" i="29"/>
  <c r="L23" i="29"/>
  <c r="K23" i="29"/>
  <c r="J23" i="29"/>
  <c r="P22" i="29"/>
  <c r="O22" i="29"/>
  <c r="N22" i="29"/>
  <c r="M22" i="29"/>
  <c r="L22" i="29"/>
  <c r="K22" i="29"/>
  <c r="J22" i="29"/>
  <c r="P21" i="29"/>
  <c r="O21" i="29"/>
  <c r="N21" i="29"/>
  <c r="M21" i="29"/>
  <c r="L21" i="29"/>
  <c r="K21" i="29"/>
  <c r="J21" i="29"/>
  <c r="P20" i="29"/>
  <c r="O20" i="29"/>
  <c r="N20" i="29"/>
  <c r="M20" i="29"/>
  <c r="L20" i="29"/>
  <c r="K20" i="29"/>
  <c r="J20" i="29"/>
  <c r="P19" i="29"/>
  <c r="O19" i="29"/>
  <c r="N19" i="29"/>
  <c r="M19" i="29"/>
  <c r="L19" i="29"/>
  <c r="K19" i="29"/>
  <c r="J19" i="29"/>
  <c r="P18" i="29"/>
  <c r="O18" i="29"/>
  <c r="N18" i="29"/>
  <c r="M18" i="29"/>
  <c r="L18" i="29"/>
  <c r="K18" i="29"/>
  <c r="J18" i="29"/>
  <c r="P17" i="29"/>
  <c r="O17" i="29"/>
  <c r="N17" i="29"/>
  <c r="M17" i="29"/>
  <c r="L17" i="29"/>
  <c r="K17" i="29"/>
  <c r="J17" i="29"/>
  <c r="P16" i="29"/>
  <c r="O16" i="29"/>
  <c r="N16" i="29"/>
  <c r="M16" i="29"/>
  <c r="L16" i="29"/>
  <c r="K16" i="29"/>
  <c r="J16" i="29"/>
  <c r="P15" i="29"/>
  <c r="O15" i="29"/>
  <c r="N15" i="29"/>
  <c r="M15" i="29"/>
  <c r="L15" i="29"/>
  <c r="K15" i="29"/>
  <c r="J15" i="29"/>
  <c r="P14" i="29"/>
  <c r="O14" i="29"/>
  <c r="N14" i="29"/>
  <c r="M14" i="29"/>
  <c r="L14" i="29"/>
  <c r="K14" i="29"/>
  <c r="J14" i="29"/>
  <c r="P13" i="29"/>
  <c r="O13" i="29"/>
  <c r="N13" i="29"/>
  <c r="M13" i="29"/>
  <c r="L13" i="29"/>
  <c r="K13" i="29"/>
  <c r="J13" i="29"/>
  <c r="P12" i="29"/>
  <c r="O12" i="29"/>
  <c r="N12" i="29"/>
  <c r="M12" i="29"/>
  <c r="L12" i="29"/>
  <c r="K12" i="29"/>
  <c r="J12" i="29"/>
  <c r="P11" i="29"/>
  <c r="O11" i="29"/>
  <c r="N11" i="29"/>
  <c r="M11" i="29"/>
  <c r="L11" i="29"/>
  <c r="K11" i="29"/>
  <c r="J11" i="29"/>
  <c r="P10" i="29"/>
  <c r="O10" i="29"/>
  <c r="N10" i="29"/>
  <c r="M10" i="29"/>
  <c r="L10" i="29"/>
  <c r="K10" i="29"/>
  <c r="J10" i="29"/>
  <c r="P9" i="29"/>
  <c r="O9" i="29"/>
  <c r="N9" i="29"/>
  <c r="M9" i="29"/>
  <c r="L9" i="29"/>
  <c r="K9" i="29"/>
  <c r="J9" i="29"/>
  <c r="P8" i="29"/>
  <c r="O8" i="29"/>
  <c r="N8" i="29"/>
  <c r="M8" i="29"/>
  <c r="L8" i="29"/>
  <c r="K8" i="29"/>
  <c r="J8" i="29"/>
  <c r="P7" i="29"/>
  <c r="O7" i="29"/>
  <c r="N7" i="29"/>
  <c r="M7" i="29"/>
  <c r="L7" i="29"/>
  <c r="K7" i="29"/>
  <c r="J7" i="29"/>
  <c r="P6" i="29"/>
  <c r="O6" i="29"/>
  <c r="N6" i="29"/>
  <c r="M6" i="29"/>
  <c r="L6" i="29"/>
  <c r="K6" i="29"/>
  <c r="J6" i="29"/>
  <c r="P5" i="29"/>
  <c r="O5" i="29"/>
  <c r="N5" i="29"/>
  <c r="M5" i="29"/>
  <c r="L5" i="29"/>
  <c r="K5" i="29"/>
  <c r="J5" i="29"/>
  <c r="P4" i="29"/>
  <c r="O4" i="29"/>
  <c r="N4" i="29"/>
  <c r="M4" i="29"/>
  <c r="L4" i="29"/>
  <c r="K4" i="29"/>
  <c r="J4" i="29"/>
  <c r="P3" i="29"/>
  <c r="O3" i="29"/>
  <c r="N3" i="29"/>
  <c r="M3" i="29"/>
  <c r="L3" i="29"/>
  <c r="K3" i="29"/>
  <c r="J3" i="29"/>
  <c r="J4" i="28"/>
  <c r="K4" i="28"/>
  <c r="L4" i="28"/>
  <c r="M4" i="28"/>
  <c r="N4" i="28"/>
  <c r="O4" i="28"/>
  <c r="P4" i="28"/>
  <c r="J5" i="28"/>
  <c r="K5" i="28"/>
  <c r="L5" i="28"/>
  <c r="M5" i="28"/>
  <c r="N5" i="28"/>
  <c r="O5" i="28"/>
  <c r="P5" i="28"/>
  <c r="J6" i="28"/>
  <c r="K6" i="28"/>
  <c r="L6" i="28"/>
  <c r="M6" i="28"/>
  <c r="N6" i="28"/>
  <c r="O6" i="28"/>
  <c r="P6" i="28"/>
  <c r="J7" i="28"/>
  <c r="K7" i="28"/>
  <c r="L7" i="28"/>
  <c r="M7" i="28"/>
  <c r="N7" i="28"/>
  <c r="O7" i="28"/>
  <c r="P7" i="28"/>
  <c r="J8" i="28"/>
  <c r="K8" i="28"/>
  <c r="L8" i="28"/>
  <c r="M8" i="28"/>
  <c r="N8" i="28"/>
  <c r="O8" i="28"/>
  <c r="P8" i="28"/>
  <c r="J9" i="28"/>
  <c r="K9" i="28"/>
  <c r="L9" i="28"/>
  <c r="M9" i="28"/>
  <c r="N9" i="28"/>
  <c r="O9" i="28"/>
  <c r="P9" i="28"/>
  <c r="J10" i="28"/>
  <c r="K10" i="28"/>
  <c r="L10" i="28"/>
  <c r="M10" i="28"/>
  <c r="N10" i="28"/>
  <c r="O10" i="28"/>
  <c r="P10" i="28"/>
  <c r="J11" i="28"/>
  <c r="K11" i="28"/>
  <c r="L11" i="28"/>
  <c r="M11" i="28"/>
  <c r="N11" i="28"/>
  <c r="O11" i="28"/>
  <c r="P11" i="28"/>
  <c r="J12" i="28"/>
  <c r="K12" i="28"/>
  <c r="L12" i="28"/>
  <c r="M12" i="28"/>
  <c r="N12" i="28"/>
  <c r="O12" i="28"/>
  <c r="P12" i="28"/>
  <c r="J13" i="28"/>
  <c r="K13" i="28"/>
  <c r="L13" i="28"/>
  <c r="M13" i="28"/>
  <c r="N13" i="28"/>
  <c r="O13" i="28"/>
  <c r="P13" i="28"/>
  <c r="J14" i="28"/>
  <c r="K14" i="28"/>
  <c r="L14" i="28"/>
  <c r="M14" i="28"/>
  <c r="N14" i="28"/>
  <c r="O14" i="28"/>
  <c r="P14" i="28"/>
  <c r="J15" i="28"/>
  <c r="K15" i="28"/>
  <c r="L15" i="28"/>
  <c r="M15" i="28"/>
  <c r="N15" i="28"/>
  <c r="O15" i="28"/>
  <c r="P15" i="28"/>
  <c r="J16" i="28"/>
  <c r="K16" i="28"/>
  <c r="L16" i="28"/>
  <c r="M16" i="28"/>
  <c r="N16" i="28"/>
  <c r="O16" i="28"/>
  <c r="P16" i="28"/>
  <c r="J17" i="28"/>
  <c r="K17" i="28"/>
  <c r="L17" i="28"/>
  <c r="M17" i="28"/>
  <c r="N17" i="28"/>
  <c r="O17" i="28"/>
  <c r="P17" i="28"/>
  <c r="J18" i="28"/>
  <c r="K18" i="28"/>
  <c r="L18" i="28"/>
  <c r="M18" i="28"/>
  <c r="N18" i="28"/>
  <c r="O18" i="28"/>
  <c r="P18" i="28"/>
  <c r="J19" i="28"/>
  <c r="K19" i="28"/>
  <c r="L19" i="28"/>
  <c r="M19" i="28"/>
  <c r="N19" i="28"/>
  <c r="O19" i="28"/>
  <c r="P19" i="28"/>
  <c r="J20" i="28"/>
  <c r="K20" i="28"/>
  <c r="L20" i="28"/>
  <c r="M20" i="28"/>
  <c r="N20" i="28"/>
  <c r="O20" i="28"/>
  <c r="P20" i="28"/>
  <c r="J21" i="28"/>
  <c r="K21" i="28"/>
  <c r="L21" i="28"/>
  <c r="M21" i="28"/>
  <c r="N21" i="28"/>
  <c r="O21" i="28"/>
  <c r="P21" i="28"/>
  <c r="J22" i="28"/>
  <c r="K22" i="28"/>
  <c r="L22" i="28"/>
  <c r="M22" i="28"/>
  <c r="N22" i="28"/>
  <c r="O22" i="28"/>
  <c r="P22" i="28"/>
  <c r="J23" i="28"/>
  <c r="K23" i="28"/>
  <c r="L23" i="28"/>
  <c r="M23" i="28"/>
  <c r="N23" i="28"/>
  <c r="O23" i="28"/>
  <c r="P23" i="28"/>
  <c r="J24" i="28"/>
  <c r="K24" i="28"/>
  <c r="L24" i="28"/>
  <c r="M24" i="28"/>
  <c r="N24" i="28"/>
  <c r="O24" i="28"/>
  <c r="P24" i="28"/>
  <c r="J25" i="28"/>
  <c r="K25" i="28"/>
  <c r="L25" i="28"/>
  <c r="M25" i="28"/>
  <c r="N25" i="28"/>
  <c r="O25" i="28"/>
  <c r="P25" i="28"/>
  <c r="J26" i="28"/>
  <c r="K26" i="28"/>
  <c r="L26" i="28"/>
  <c r="M26" i="28"/>
  <c r="N26" i="28"/>
  <c r="O26" i="28"/>
  <c r="P26" i="28"/>
  <c r="J27" i="28"/>
  <c r="K27" i="28"/>
  <c r="L27" i="28"/>
  <c r="M27" i="28"/>
  <c r="N27" i="28"/>
  <c r="O27" i="28"/>
  <c r="P27" i="28"/>
  <c r="J28" i="28"/>
  <c r="K28" i="28"/>
  <c r="L28" i="28"/>
  <c r="M28" i="28"/>
  <c r="N28" i="28"/>
  <c r="O28" i="28"/>
  <c r="P28" i="28"/>
  <c r="J29" i="28"/>
  <c r="K29" i="28"/>
  <c r="L29" i="28"/>
  <c r="M29" i="28"/>
  <c r="N29" i="28"/>
  <c r="O29" i="28"/>
  <c r="P29" i="28"/>
  <c r="J30" i="28"/>
  <c r="K30" i="28"/>
  <c r="L30" i="28"/>
  <c r="M30" i="28"/>
  <c r="N30" i="28"/>
  <c r="O30" i="28"/>
  <c r="P30" i="28"/>
  <c r="J31" i="28"/>
  <c r="K31" i="28"/>
  <c r="L31" i="28"/>
  <c r="M31" i="28"/>
  <c r="N31" i="28"/>
  <c r="O31" i="28"/>
  <c r="P31" i="28"/>
  <c r="J32" i="28"/>
  <c r="K32" i="28"/>
  <c r="L32" i="28"/>
  <c r="M32" i="28"/>
  <c r="N32" i="28"/>
  <c r="O32" i="28"/>
  <c r="P32" i="28"/>
  <c r="J33" i="28"/>
  <c r="K33" i="28"/>
  <c r="L33" i="28"/>
  <c r="M33" i="28"/>
  <c r="N33" i="28"/>
  <c r="O33" i="28"/>
  <c r="P33" i="28"/>
  <c r="J34" i="28"/>
  <c r="K34" i="28"/>
  <c r="L34" i="28"/>
  <c r="M34" i="28"/>
  <c r="N34" i="28"/>
  <c r="O34" i="28"/>
  <c r="P34" i="28"/>
  <c r="J35" i="28"/>
  <c r="K35" i="28"/>
  <c r="L35" i="28"/>
  <c r="M35" i="28"/>
  <c r="N35" i="28"/>
  <c r="O35" i="28"/>
  <c r="P35" i="28"/>
  <c r="J36" i="28"/>
  <c r="K36" i="28"/>
  <c r="L36" i="28"/>
  <c r="M36" i="28"/>
  <c r="N36" i="28"/>
  <c r="O36" i="28"/>
  <c r="P36" i="28"/>
  <c r="J37" i="28"/>
  <c r="K37" i="28"/>
  <c r="L37" i="28"/>
  <c r="M37" i="28"/>
  <c r="N37" i="28"/>
  <c r="O37" i="28"/>
  <c r="P37" i="28"/>
  <c r="J38" i="28"/>
  <c r="K38" i="28"/>
  <c r="L38" i="28"/>
  <c r="M38" i="28"/>
  <c r="N38" i="28"/>
  <c r="O38" i="28"/>
  <c r="P38" i="28"/>
  <c r="J39" i="28"/>
  <c r="K39" i="28"/>
  <c r="L39" i="28"/>
  <c r="M39" i="28"/>
  <c r="N39" i="28"/>
  <c r="O39" i="28"/>
  <c r="P39" i="28"/>
  <c r="J40" i="28"/>
  <c r="K40" i="28"/>
  <c r="L40" i="28"/>
  <c r="M40" i="28"/>
  <c r="N40" i="28"/>
  <c r="O40" i="28"/>
  <c r="P40" i="28"/>
  <c r="J41" i="28"/>
  <c r="K41" i="28"/>
  <c r="L41" i="28"/>
  <c r="M41" i="28"/>
  <c r="N41" i="28"/>
  <c r="O41" i="28"/>
  <c r="P41" i="28"/>
  <c r="J42" i="28"/>
  <c r="K42" i="28"/>
  <c r="L42" i="28"/>
  <c r="M42" i="28"/>
  <c r="N42" i="28"/>
  <c r="O42" i="28"/>
  <c r="P42" i="28"/>
  <c r="J43" i="28"/>
  <c r="K43" i="28"/>
  <c r="L43" i="28"/>
  <c r="M43" i="28"/>
  <c r="N43" i="28"/>
  <c r="O43" i="28"/>
  <c r="P43" i="28"/>
  <c r="J44" i="28"/>
  <c r="K44" i="28"/>
  <c r="L44" i="28"/>
  <c r="M44" i="28"/>
  <c r="N44" i="28"/>
  <c r="O44" i="28"/>
  <c r="P44" i="28"/>
  <c r="J45" i="28"/>
  <c r="K45" i="28"/>
  <c r="L45" i="28"/>
  <c r="M45" i="28"/>
  <c r="N45" i="28"/>
  <c r="O45" i="28"/>
  <c r="P45" i="28"/>
  <c r="J46" i="28"/>
  <c r="K46" i="28"/>
  <c r="L46" i="28"/>
  <c r="M46" i="28"/>
  <c r="N46" i="28"/>
  <c r="O46" i="28"/>
  <c r="P46" i="28"/>
  <c r="J47" i="28"/>
  <c r="K47" i="28"/>
  <c r="L47" i="28"/>
  <c r="M47" i="28"/>
  <c r="N47" i="28"/>
  <c r="O47" i="28"/>
  <c r="P47" i="28"/>
  <c r="J48" i="28"/>
  <c r="K48" i="28"/>
  <c r="L48" i="28"/>
  <c r="M48" i="28"/>
  <c r="N48" i="28"/>
  <c r="O48" i="28"/>
  <c r="P48" i="28"/>
  <c r="J49" i="28"/>
  <c r="K49" i="28"/>
  <c r="L49" i="28"/>
  <c r="M49" i="28"/>
  <c r="N49" i="28"/>
  <c r="O49" i="28"/>
  <c r="P49" i="28"/>
  <c r="J50" i="28"/>
  <c r="K50" i="28"/>
  <c r="L50" i="28"/>
  <c r="M50" i="28"/>
  <c r="N50" i="28"/>
  <c r="O50" i="28"/>
  <c r="P50" i="28"/>
  <c r="J51" i="28"/>
  <c r="K51" i="28"/>
  <c r="L51" i="28"/>
  <c r="M51" i="28"/>
  <c r="N51" i="28"/>
  <c r="O51" i="28"/>
  <c r="P51" i="28"/>
  <c r="K3" i="28"/>
  <c r="L3" i="28"/>
  <c r="M3" i="28"/>
  <c r="N3" i="28"/>
  <c r="O3" i="28"/>
  <c r="P3" i="28"/>
  <c r="J3" i="28"/>
  <c r="P51" i="27"/>
  <c r="O51" i="27"/>
  <c r="N51" i="27"/>
  <c r="M51" i="27"/>
  <c r="L51" i="27"/>
  <c r="K51" i="27"/>
  <c r="J51" i="27"/>
  <c r="P50" i="27"/>
  <c r="O50" i="27"/>
  <c r="N50" i="27"/>
  <c r="M50" i="27"/>
  <c r="L50" i="27"/>
  <c r="K50" i="27"/>
  <c r="J50" i="27"/>
  <c r="P49" i="27"/>
  <c r="O49" i="27"/>
  <c r="N49" i="27"/>
  <c r="M49" i="27"/>
  <c r="L49" i="27"/>
  <c r="K49" i="27"/>
  <c r="J49" i="27"/>
  <c r="P48" i="27"/>
  <c r="O48" i="27"/>
  <c r="N48" i="27"/>
  <c r="M48" i="27"/>
  <c r="L48" i="27"/>
  <c r="K48" i="27"/>
  <c r="J48" i="27"/>
  <c r="P47" i="27"/>
  <c r="O47" i="27"/>
  <c r="N47" i="27"/>
  <c r="M47" i="27"/>
  <c r="L47" i="27"/>
  <c r="K47" i="27"/>
  <c r="J47" i="27"/>
  <c r="P46" i="27"/>
  <c r="O46" i="27"/>
  <c r="N46" i="27"/>
  <c r="M46" i="27"/>
  <c r="L46" i="27"/>
  <c r="K46" i="27"/>
  <c r="J46" i="27"/>
  <c r="P45" i="27"/>
  <c r="O45" i="27"/>
  <c r="N45" i="27"/>
  <c r="M45" i="27"/>
  <c r="L45" i="27"/>
  <c r="K45" i="27"/>
  <c r="J45" i="27"/>
  <c r="P44" i="27"/>
  <c r="O44" i="27"/>
  <c r="N44" i="27"/>
  <c r="M44" i="27"/>
  <c r="L44" i="27"/>
  <c r="K44" i="27"/>
  <c r="J44" i="27"/>
  <c r="P43" i="27"/>
  <c r="O43" i="27"/>
  <c r="N43" i="27"/>
  <c r="M43" i="27"/>
  <c r="L43" i="27"/>
  <c r="K43" i="27"/>
  <c r="J43" i="27"/>
  <c r="P42" i="27"/>
  <c r="O42" i="27"/>
  <c r="N42" i="27"/>
  <c r="M42" i="27"/>
  <c r="L42" i="27"/>
  <c r="K42" i="27"/>
  <c r="J42" i="27"/>
  <c r="P41" i="27"/>
  <c r="O41" i="27"/>
  <c r="N41" i="27"/>
  <c r="M41" i="27"/>
  <c r="L41" i="27"/>
  <c r="K41" i="27"/>
  <c r="J41" i="27"/>
  <c r="P40" i="27"/>
  <c r="O40" i="27"/>
  <c r="N40" i="27"/>
  <c r="M40" i="27"/>
  <c r="L40" i="27"/>
  <c r="K40" i="27"/>
  <c r="J40" i="27"/>
  <c r="P39" i="27"/>
  <c r="O39" i="27"/>
  <c r="N39" i="27"/>
  <c r="M39" i="27"/>
  <c r="L39" i="27"/>
  <c r="K39" i="27"/>
  <c r="J39" i="27"/>
  <c r="P38" i="27"/>
  <c r="O38" i="27"/>
  <c r="N38" i="27"/>
  <c r="M38" i="27"/>
  <c r="L38" i="27"/>
  <c r="K38" i="27"/>
  <c r="J38" i="27"/>
  <c r="P37" i="27"/>
  <c r="O37" i="27"/>
  <c r="N37" i="27"/>
  <c r="M37" i="27"/>
  <c r="L37" i="27"/>
  <c r="K37" i="27"/>
  <c r="J37" i="27"/>
  <c r="P36" i="27"/>
  <c r="O36" i="27"/>
  <c r="N36" i="27"/>
  <c r="M36" i="27"/>
  <c r="L36" i="27"/>
  <c r="K36" i="27"/>
  <c r="J36" i="27"/>
  <c r="P35" i="27"/>
  <c r="O35" i="27"/>
  <c r="N35" i="27"/>
  <c r="M35" i="27"/>
  <c r="L35" i="27"/>
  <c r="K35" i="27"/>
  <c r="J35" i="27"/>
  <c r="P34" i="27"/>
  <c r="O34" i="27"/>
  <c r="N34" i="27"/>
  <c r="M34" i="27"/>
  <c r="L34" i="27"/>
  <c r="K34" i="27"/>
  <c r="J34" i="27"/>
  <c r="P33" i="27"/>
  <c r="O33" i="27"/>
  <c r="N33" i="27"/>
  <c r="M33" i="27"/>
  <c r="L33" i="27"/>
  <c r="K33" i="27"/>
  <c r="J33" i="27"/>
  <c r="P32" i="27"/>
  <c r="O32" i="27"/>
  <c r="N32" i="27"/>
  <c r="M32" i="27"/>
  <c r="L32" i="27"/>
  <c r="K32" i="27"/>
  <c r="J32" i="27"/>
  <c r="P31" i="27"/>
  <c r="O31" i="27"/>
  <c r="N31" i="27"/>
  <c r="M31" i="27"/>
  <c r="L31" i="27"/>
  <c r="K31" i="27"/>
  <c r="J31" i="27"/>
  <c r="P30" i="27"/>
  <c r="O30" i="27"/>
  <c r="N30" i="27"/>
  <c r="M30" i="27"/>
  <c r="L30" i="27"/>
  <c r="K30" i="27"/>
  <c r="J30" i="27"/>
  <c r="P29" i="27"/>
  <c r="O29" i="27"/>
  <c r="N29" i="27"/>
  <c r="M29" i="27"/>
  <c r="L29" i="27"/>
  <c r="K29" i="27"/>
  <c r="J29" i="27"/>
  <c r="P28" i="27"/>
  <c r="O28" i="27"/>
  <c r="N28" i="27"/>
  <c r="M28" i="27"/>
  <c r="L28" i="27"/>
  <c r="K28" i="27"/>
  <c r="J28" i="27"/>
  <c r="P27" i="27"/>
  <c r="O27" i="27"/>
  <c r="N27" i="27"/>
  <c r="M27" i="27"/>
  <c r="L27" i="27"/>
  <c r="K27" i="27"/>
  <c r="J27" i="27"/>
  <c r="P26" i="27"/>
  <c r="O26" i="27"/>
  <c r="N26" i="27"/>
  <c r="M26" i="27"/>
  <c r="L26" i="27"/>
  <c r="K26" i="27"/>
  <c r="J26" i="27"/>
  <c r="P25" i="27"/>
  <c r="O25" i="27"/>
  <c r="N25" i="27"/>
  <c r="M25" i="27"/>
  <c r="L25" i="27"/>
  <c r="K25" i="27"/>
  <c r="J25" i="27"/>
  <c r="P24" i="27"/>
  <c r="O24" i="27"/>
  <c r="N24" i="27"/>
  <c r="M24" i="27"/>
  <c r="L24" i="27"/>
  <c r="K24" i="27"/>
  <c r="J24" i="27"/>
  <c r="P23" i="27"/>
  <c r="O23" i="27"/>
  <c r="N23" i="27"/>
  <c r="M23" i="27"/>
  <c r="L23" i="27"/>
  <c r="K23" i="27"/>
  <c r="J23" i="27"/>
  <c r="P22" i="27"/>
  <c r="O22" i="27"/>
  <c r="N22" i="27"/>
  <c r="M22" i="27"/>
  <c r="L22" i="27"/>
  <c r="K22" i="27"/>
  <c r="J22" i="27"/>
  <c r="P21" i="27"/>
  <c r="O21" i="27"/>
  <c r="N21" i="27"/>
  <c r="M21" i="27"/>
  <c r="L21" i="27"/>
  <c r="K21" i="27"/>
  <c r="J21" i="27"/>
  <c r="P20" i="27"/>
  <c r="O20" i="27"/>
  <c r="N20" i="27"/>
  <c r="M20" i="27"/>
  <c r="L20" i="27"/>
  <c r="K20" i="27"/>
  <c r="J20" i="27"/>
  <c r="P19" i="27"/>
  <c r="O19" i="27"/>
  <c r="N19" i="27"/>
  <c r="M19" i="27"/>
  <c r="L19" i="27"/>
  <c r="K19" i="27"/>
  <c r="J19" i="27"/>
  <c r="P18" i="27"/>
  <c r="O18" i="27"/>
  <c r="N18" i="27"/>
  <c r="M18" i="27"/>
  <c r="L18" i="27"/>
  <c r="K18" i="27"/>
  <c r="J18" i="27"/>
  <c r="P17" i="27"/>
  <c r="O17" i="27"/>
  <c r="N17" i="27"/>
  <c r="M17" i="27"/>
  <c r="L17" i="27"/>
  <c r="K17" i="27"/>
  <c r="J17" i="27"/>
  <c r="P16" i="27"/>
  <c r="O16" i="27"/>
  <c r="N16" i="27"/>
  <c r="M16" i="27"/>
  <c r="L16" i="27"/>
  <c r="K16" i="27"/>
  <c r="J16" i="27"/>
  <c r="P15" i="27"/>
  <c r="O15" i="27"/>
  <c r="N15" i="27"/>
  <c r="M15" i="27"/>
  <c r="L15" i="27"/>
  <c r="K15" i="27"/>
  <c r="J15" i="27"/>
  <c r="P14" i="27"/>
  <c r="O14" i="27"/>
  <c r="N14" i="27"/>
  <c r="M14" i="27"/>
  <c r="L14" i="27"/>
  <c r="K14" i="27"/>
  <c r="J14" i="27"/>
  <c r="P13" i="27"/>
  <c r="O13" i="27"/>
  <c r="N13" i="27"/>
  <c r="M13" i="27"/>
  <c r="L13" i="27"/>
  <c r="K13" i="27"/>
  <c r="J13" i="27"/>
  <c r="P12" i="27"/>
  <c r="O12" i="27"/>
  <c r="N12" i="27"/>
  <c r="M12" i="27"/>
  <c r="L12" i="27"/>
  <c r="K12" i="27"/>
  <c r="J12" i="27"/>
  <c r="P11" i="27"/>
  <c r="O11" i="27"/>
  <c r="N11" i="27"/>
  <c r="M11" i="27"/>
  <c r="L11" i="27"/>
  <c r="K11" i="27"/>
  <c r="J11" i="27"/>
  <c r="P10" i="27"/>
  <c r="O10" i="27"/>
  <c r="N10" i="27"/>
  <c r="M10" i="27"/>
  <c r="L10" i="27"/>
  <c r="K10" i="27"/>
  <c r="J10" i="27"/>
  <c r="P9" i="27"/>
  <c r="O9" i="27"/>
  <c r="N9" i="27"/>
  <c r="M9" i="27"/>
  <c r="L9" i="27"/>
  <c r="K9" i="27"/>
  <c r="J9" i="27"/>
  <c r="P8" i="27"/>
  <c r="O8" i="27"/>
  <c r="N8" i="27"/>
  <c r="M8" i="27"/>
  <c r="L8" i="27"/>
  <c r="K8" i="27"/>
  <c r="J8" i="27"/>
  <c r="P7" i="27"/>
  <c r="O7" i="27"/>
  <c r="N7" i="27"/>
  <c r="M7" i="27"/>
  <c r="L7" i="27"/>
  <c r="K7" i="27"/>
  <c r="J7" i="27"/>
  <c r="P6" i="27"/>
  <c r="O6" i="27"/>
  <c r="N6" i="27"/>
  <c r="M6" i="27"/>
  <c r="L6" i="27"/>
  <c r="K6" i="27"/>
  <c r="J6" i="27"/>
  <c r="P5" i="27"/>
  <c r="O5" i="27"/>
  <c r="N5" i="27"/>
  <c r="M5" i="27"/>
  <c r="L5" i="27"/>
  <c r="K5" i="27"/>
  <c r="J5" i="27"/>
  <c r="P4" i="27"/>
  <c r="O4" i="27"/>
  <c r="N4" i="27"/>
  <c r="M4" i="27"/>
  <c r="L4" i="27"/>
  <c r="K4" i="27"/>
  <c r="J4" i="27"/>
  <c r="P3" i="27"/>
  <c r="O3" i="27"/>
  <c r="N3" i="27"/>
  <c r="M3" i="27"/>
  <c r="L3" i="27"/>
  <c r="K3" i="27"/>
  <c r="J3" i="27"/>
  <c r="P51" i="26"/>
  <c r="O51" i="26"/>
  <c r="N51" i="26"/>
  <c r="M51" i="26"/>
  <c r="L51" i="26"/>
  <c r="K51" i="26"/>
  <c r="J51" i="26"/>
  <c r="P50" i="26"/>
  <c r="O50" i="26"/>
  <c r="N50" i="26"/>
  <c r="M50" i="26"/>
  <c r="L50" i="26"/>
  <c r="K50" i="26"/>
  <c r="J50" i="26"/>
  <c r="P49" i="26"/>
  <c r="O49" i="26"/>
  <c r="N49" i="26"/>
  <c r="M49" i="26"/>
  <c r="L49" i="26"/>
  <c r="K49" i="26"/>
  <c r="J49" i="26"/>
  <c r="P48" i="26"/>
  <c r="O48" i="26"/>
  <c r="N48" i="26"/>
  <c r="M48" i="26"/>
  <c r="L48" i="26"/>
  <c r="K48" i="26"/>
  <c r="J48" i="26"/>
  <c r="P47" i="26"/>
  <c r="O47" i="26"/>
  <c r="N47" i="26"/>
  <c r="M47" i="26"/>
  <c r="L47" i="26"/>
  <c r="K47" i="26"/>
  <c r="J47" i="26"/>
  <c r="P46" i="26"/>
  <c r="O46" i="26"/>
  <c r="N46" i="26"/>
  <c r="M46" i="26"/>
  <c r="L46" i="26"/>
  <c r="K46" i="26"/>
  <c r="J46" i="26"/>
  <c r="P45" i="26"/>
  <c r="O45" i="26"/>
  <c r="N45" i="26"/>
  <c r="M45" i="26"/>
  <c r="L45" i="26"/>
  <c r="K45" i="26"/>
  <c r="J45" i="26"/>
  <c r="P44" i="26"/>
  <c r="O44" i="26"/>
  <c r="N44" i="26"/>
  <c r="M44" i="26"/>
  <c r="L44" i="26"/>
  <c r="K44" i="26"/>
  <c r="J44" i="26"/>
  <c r="P43" i="26"/>
  <c r="O43" i="26"/>
  <c r="N43" i="26"/>
  <c r="M43" i="26"/>
  <c r="L43" i="26"/>
  <c r="K43" i="26"/>
  <c r="J43" i="26"/>
  <c r="P42" i="26"/>
  <c r="O42" i="26"/>
  <c r="N42" i="26"/>
  <c r="M42" i="26"/>
  <c r="L42" i="26"/>
  <c r="K42" i="26"/>
  <c r="J42" i="26"/>
  <c r="P41" i="26"/>
  <c r="O41" i="26"/>
  <c r="N41" i="26"/>
  <c r="M41" i="26"/>
  <c r="L41" i="26"/>
  <c r="K41" i="26"/>
  <c r="J41" i="26"/>
  <c r="P40" i="26"/>
  <c r="O40" i="26"/>
  <c r="N40" i="26"/>
  <c r="M40" i="26"/>
  <c r="L40" i="26"/>
  <c r="K40" i="26"/>
  <c r="J40" i="26"/>
  <c r="P39" i="26"/>
  <c r="O39" i="26"/>
  <c r="N39" i="26"/>
  <c r="M39" i="26"/>
  <c r="L39" i="26"/>
  <c r="K39" i="26"/>
  <c r="J39" i="26"/>
  <c r="P38" i="26"/>
  <c r="O38" i="26"/>
  <c r="N38" i="26"/>
  <c r="M38" i="26"/>
  <c r="L38" i="26"/>
  <c r="K38" i="26"/>
  <c r="J38" i="26"/>
  <c r="P37" i="26"/>
  <c r="O37" i="26"/>
  <c r="N37" i="26"/>
  <c r="M37" i="26"/>
  <c r="L37" i="26"/>
  <c r="K37" i="26"/>
  <c r="J37" i="26"/>
  <c r="P36" i="26"/>
  <c r="O36" i="26"/>
  <c r="N36" i="26"/>
  <c r="M36" i="26"/>
  <c r="L36" i="26"/>
  <c r="K36" i="26"/>
  <c r="J36" i="26"/>
  <c r="P35" i="26"/>
  <c r="O35" i="26"/>
  <c r="N35" i="26"/>
  <c r="M35" i="26"/>
  <c r="L35" i="26"/>
  <c r="K35" i="26"/>
  <c r="J35" i="26"/>
  <c r="P34" i="26"/>
  <c r="O34" i="26"/>
  <c r="N34" i="26"/>
  <c r="M34" i="26"/>
  <c r="L34" i="26"/>
  <c r="K34" i="26"/>
  <c r="J34" i="26"/>
  <c r="P33" i="26"/>
  <c r="O33" i="26"/>
  <c r="N33" i="26"/>
  <c r="M33" i="26"/>
  <c r="L33" i="26"/>
  <c r="K33" i="26"/>
  <c r="J33" i="26"/>
  <c r="P32" i="26"/>
  <c r="O32" i="26"/>
  <c r="N32" i="26"/>
  <c r="M32" i="26"/>
  <c r="L32" i="26"/>
  <c r="K32" i="26"/>
  <c r="J32" i="26"/>
  <c r="P31" i="26"/>
  <c r="O31" i="26"/>
  <c r="N31" i="26"/>
  <c r="M31" i="26"/>
  <c r="L31" i="26"/>
  <c r="K31" i="26"/>
  <c r="J31" i="26"/>
  <c r="P30" i="26"/>
  <c r="O30" i="26"/>
  <c r="N30" i="26"/>
  <c r="M30" i="26"/>
  <c r="L30" i="26"/>
  <c r="K30" i="26"/>
  <c r="J30" i="26"/>
  <c r="P29" i="26"/>
  <c r="O29" i="26"/>
  <c r="N29" i="26"/>
  <c r="M29" i="26"/>
  <c r="L29" i="26"/>
  <c r="K29" i="26"/>
  <c r="J29" i="26"/>
  <c r="P28" i="26"/>
  <c r="O28" i="26"/>
  <c r="N28" i="26"/>
  <c r="M28" i="26"/>
  <c r="L28" i="26"/>
  <c r="K28" i="26"/>
  <c r="J28" i="26"/>
  <c r="P27" i="26"/>
  <c r="O27" i="26"/>
  <c r="N27" i="26"/>
  <c r="M27" i="26"/>
  <c r="L27" i="26"/>
  <c r="K27" i="26"/>
  <c r="J27" i="26"/>
  <c r="P26" i="26"/>
  <c r="O26" i="26"/>
  <c r="N26" i="26"/>
  <c r="M26" i="26"/>
  <c r="L26" i="26"/>
  <c r="K26" i="26"/>
  <c r="J26" i="26"/>
  <c r="P25" i="26"/>
  <c r="O25" i="26"/>
  <c r="N25" i="26"/>
  <c r="M25" i="26"/>
  <c r="L25" i="26"/>
  <c r="K25" i="26"/>
  <c r="J25" i="26"/>
  <c r="P24" i="26"/>
  <c r="O24" i="26"/>
  <c r="N24" i="26"/>
  <c r="M24" i="26"/>
  <c r="L24" i="26"/>
  <c r="K24" i="26"/>
  <c r="J24" i="26"/>
  <c r="P23" i="26"/>
  <c r="O23" i="26"/>
  <c r="N23" i="26"/>
  <c r="M23" i="26"/>
  <c r="L23" i="26"/>
  <c r="K23" i="26"/>
  <c r="J23" i="26"/>
  <c r="P22" i="26"/>
  <c r="O22" i="26"/>
  <c r="N22" i="26"/>
  <c r="M22" i="26"/>
  <c r="L22" i="26"/>
  <c r="K22" i="26"/>
  <c r="J22" i="26"/>
  <c r="P21" i="26"/>
  <c r="O21" i="26"/>
  <c r="N21" i="26"/>
  <c r="M21" i="26"/>
  <c r="L21" i="26"/>
  <c r="K21" i="26"/>
  <c r="J21" i="26"/>
  <c r="P20" i="26"/>
  <c r="O20" i="26"/>
  <c r="N20" i="26"/>
  <c r="M20" i="26"/>
  <c r="L20" i="26"/>
  <c r="K20" i="26"/>
  <c r="J20" i="26"/>
  <c r="P19" i="26"/>
  <c r="O19" i="26"/>
  <c r="N19" i="26"/>
  <c r="M19" i="26"/>
  <c r="L19" i="26"/>
  <c r="K19" i="26"/>
  <c r="J19" i="26"/>
  <c r="P18" i="26"/>
  <c r="O18" i="26"/>
  <c r="N18" i="26"/>
  <c r="M18" i="26"/>
  <c r="L18" i="26"/>
  <c r="K18" i="26"/>
  <c r="J18" i="26"/>
  <c r="P17" i="26"/>
  <c r="O17" i="26"/>
  <c r="N17" i="26"/>
  <c r="M17" i="26"/>
  <c r="L17" i="26"/>
  <c r="K17" i="26"/>
  <c r="J17" i="26"/>
  <c r="P16" i="26"/>
  <c r="O16" i="26"/>
  <c r="N16" i="26"/>
  <c r="M16" i="26"/>
  <c r="L16" i="26"/>
  <c r="K16" i="26"/>
  <c r="J16" i="26"/>
  <c r="P15" i="26"/>
  <c r="O15" i="26"/>
  <c r="N15" i="26"/>
  <c r="M15" i="26"/>
  <c r="L15" i="26"/>
  <c r="K15" i="26"/>
  <c r="J15" i="26"/>
  <c r="P14" i="26"/>
  <c r="O14" i="26"/>
  <c r="N14" i="26"/>
  <c r="M14" i="26"/>
  <c r="L14" i="26"/>
  <c r="K14" i="26"/>
  <c r="J14" i="26"/>
  <c r="P13" i="26"/>
  <c r="O13" i="26"/>
  <c r="N13" i="26"/>
  <c r="M13" i="26"/>
  <c r="L13" i="26"/>
  <c r="K13" i="26"/>
  <c r="J13" i="26"/>
  <c r="P12" i="26"/>
  <c r="O12" i="26"/>
  <c r="N12" i="26"/>
  <c r="M12" i="26"/>
  <c r="L12" i="26"/>
  <c r="K12" i="26"/>
  <c r="J12" i="26"/>
  <c r="P11" i="26"/>
  <c r="O11" i="26"/>
  <c r="N11" i="26"/>
  <c r="M11" i="26"/>
  <c r="L11" i="26"/>
  <c r="K11" i="26"/>
  <c r="J11" i="26"/>
  <c r="P10" i="26"/>
  <c r="O10" i="26"/>
  <c r="N10" i="26"/>
  <c r="M10" i="26"/>
  <c r="L10" i="26"/>
  <c r="K10" i="26"/>
  <c r="J10" i="26"/>
  <c r="P9" i="26"/>
  <c r="O9" i="26"/>
  <c r="N9" i="26"/>
  <c r="M9" i="26"/>
  <c r="L9" i="26"/>
  <c r="K9" i="26"/>
  <c r="J9" i="26"/>
  <c r="P8" i="26"/>
  <c r="O8" i="26"/>
  <c r="N8" i="26"/>
  <c r="M8" i="26"/>
  <c r="L8" i="26"/>
  <c r="K8" i="26"/>
  <c r="J8" i="26"/>
  <c r="P7" i="26"/>
  <c r="O7" i="26"/>
  <c r="N7" i="26"/>
  <c r="M7" i="26"/>
  <c r="L7" i="26"/>
  <c r="K7" i="26"/>
  <c r="J7" i="26"/>
  <c r="P6" i="26"/>
  <c r="O6" i="26"/>
  <c r="N6" i="26"/>
  <c r="M6" i="26"/>
  <c r="L6" i="26"/>
  <c r="K6" i="26"/>
  <c r="J6" i="26"/>
  <c r="P5" i="26"/>
  <c r="O5" i="26"/>
  <c r="N5" i="26"/>
  <c r="M5" i="26"/>
  <c r="L5" i="26"/>
  <c r="K5" i="26"/>
  <c r="J5" i="26"/>
  <c r="P4" i="26"/>
  <c r="O4" i="26"/>
  <c r="N4" i="26"/>
  <c r="M4" i="26"/>
  <c r="L4" i="26"/>
  <c r="K4" i="26"/>
  <c r="J4" i="26"/>
  <c r="P3" i="26"/>
  <c r="O3" i="26"/>
  <c r="N3" i="26"/>
  <c r="M3" i="26"/>
  <c r="L3" i="26"/>
  <c r="K3" i="26"/>
  <c r="J3" i="26"/>
  <c r="P51" i="25"/>
  <c r="O51" i="25"/>
  <c r="N51" i="25"/>
  <c r="M51" i="25"/>
  <c r="L51" i="25"/>
  <c r="K51" i="25"/>
  <c r="J51" i="25"/>
  <c r="P50" i="25"/>
  <c r="O50" i="25"/>
  <c r="N50" i="25"/>
  <c r="M50" i="25"/>
  <c r="L50" i="25"/>
  <c r="K50" i="25"/>
  <c r="J50" i="25"/>
  <c r="P49" i="25"/>
  <c r="O49" i="25"/>
  <c r="N49" i="25"/>
  <c r="M49" i="25"/>
  <c r="L49" i="25"/>
  <c r="K49" i="25"/>
  <c r="J49" i="25"/>
  <c r="P48" i="25"/>
  <c r="O48" i="25"/>
  <c r="N48" i="25"/>
  <c r="M48" i="25"/>
  <c r="L48" i="25"/>
  <c r="K48" i="25"/>
  <c r="J48" i="25"/>
  <c r="P47" i="25"/>
  <c r="O47" i="25"/>
  <c r="N47" i="25"/>
  <c r="M47" i="25"/>
  <c r="L47" i="25"/>
  <c r="K47" i="25"/>
  <c r="J47" i="25"/>
  <c r="P46" i="25"/>
  <c r="O46" i="25"/>
  <c r="N46" i="25"/>
  <c r="M46" i="25"/>
  <c r="L46" i="25"/>
  <c r="K46" i="25"/>
  <c r="J46" i="25"/>
  <c r="P45" i="25"/>
  <c r="O45" i="25"/>
  <c r="N45" i="25"/>
  <c r="M45" i="25"/>
  <c r="L45" i="25"/>
  <c r="K45" i="25"/>
  <c r="J45" i="25"/>
  <c r="P44" i="25"/>
  <c r="O44" i="25"/>
  <c r="N44" i="25"/>
  <c r="M44" i="25"/>
  <c r="L44" i="25"/>
  <c r="K44" i="25"/>
  <c r="J44" i="25"/>
  <c r="P43" i="25"/>
  <c r="O43" i="25"/>
  <c r="N43" i="25"/>
  <c r="M43" i="25"/>
  <c r="L43" i="25"/>
  <c r="K43" i="25"/>
  <c r="J43" i="25"/>
  <c r="P42" i="25"/>
  <c r="O42" i="25"/>
  <c r="N42" i="25"/>
  <c r="M42" i="25"/>
  <c r="L42" i="25"/>
  <c r="K42" i="25"/>
  <c r="J42" i="25"/>
  <c r="P41" i="25"/>
  <c r="O41" i="25"/>
  <c r="N41" i="25"/>
  <c r="M41" i="25"/>
  <c r="L41" i="25"/>
  <c r="K41" i="25"/>
  <c r="J41" i="25"/>
  <c r="P40" i="25"/>
  <c r="O40" i="25"/>
  <c r="N40" i="25"/>
  <c r="M40" i="25"/>
  <c r="L40" i="25"/>
  <c r="K40" i="25"/>
  <c r="J40" i="25"/>
  <c r="P39" i="25"/>
  <c r="O39" i="25"/>
  <c r="N39" i="25"/>
  <c r="M39" i="25"/>
  <c r="L39" i="25"/>
  <c r="K39" i="25"/>
  <c r="J39" i="25"/>
  <c r="P38" i="25"/>
  <c r="O38" i="25"/>
  <c r="N38" i="25"/>
  <c r="M38" i="25"/>
  <c r="L38" i="25"/>
  <c r="K38" i="25"/>
  <c r="J38" i="25"/>
  <c r="P37" i="25"/>
  <c r="O37" i="25"/>
  <c r="N37" i="25"/>
  <c r="M37" i="25"/>
  <c r="L37" i="25"/>
  <c r="K37" i="25"/>
  <c r="J37" i="25"/>
  <c r="P36" i="25"/>
  <c r="O36" i="25"/>
  <c r="N36" i="25"/>
  <c r="M36" i="25"/>
  <c r="L36" i="25"/>
  <c r="K36" i="25"/>
  <c r="J36" i="25"/>
  <c r="P35" i="25"/>
  <c r="O35" i="25"/>
  <c r="N35" i="25"/>
  <c r="M35" i="25"/>
  <c r="L35" i="25"/>
  <c r="K35" i="25"/>
  <c r="J35" i="25"/>
  <c r="P34" i="25"/>
  <c r="O34" i="25"/>
  <c r="N34" i="25"/>
  <c r="M34" i="25"/>
  <c r="L34" i="25"/>
  <c r="K34" i="25"/>
  <c r="J34" i="25"/>
  <c r="P33" i="25"/>
  <c r="O33" i="25"/>
  <c r="N33" i="25"/>
  <c r="M33" i="25"/>
  <c r="L33" i="25"/>
  <c r="K33" i="25"/>
  <c r="J33" i="25"/>
  <c r="P32" i="25"/>
  <c r="O32" i="25"/>
  <c r="N32" i="25"/>
  <c r="M32" i="25"/>
  <c r="L32" i="25"/>
  <c r="K32" i="25"/>
  <c r="J32" i="25"/>
  <c r="P31" i="25"/>
  <c r="O31" i="25"/>
  <c r="N31" i="25"/>
  <c r="M31" i="25"/>
  <c r="L31" i="25"/>
  <c r="K31" i="25"/>
  <c r="J31" i="25"/>
  <c r="P30" i="25"/>
  <c r="O30" i="25"/>
  <c r="N30" i="25"/>
  <c r="M30" i="25"/>
  <c r="L30" i="25"/>
  <c r="K30" i="25"/>
  <c r="J30" i="25"/>
  <c r="P29" i="25"/>
  <c r="O29" i="25"/>
  <c r="N29" i="25"/>
  <c r="M29" i="25"/>
  <c r="L29" i="25"/>
  <c r="K29" i="25"/>
  <c r="J29" i="25"/>
  <c r="P28" i="25"/>
  <c r="O28" i="25"/>
  <c r="N28" i="25"/>
  <c r="M28" i="25"/>
  <c r="L28" i="25"/>
  <c r="K28" i="25"/>
  <c r="J28" i="25"/>
  <c r="P27" i="25"/>
  <c r="O27" i="25"/>
  <c r="N27" i="25"/>
  <c r="M27" i="25"/>
  <c r="L27" i="25"/>
  <c r="K27" i="25"/>
  <c r="J27" i="25"/>
  <c r="P26" i="25"/>
  <c r="O26" i="25"/>
  <c r="N26" i="25"/>
  <c r="M26" i="25"/>
  <c r="L26" i="25"/>
  <c r="K26" i="25"/>
  <c r="J26" i="25"/>
  <c r="P25" i="25"/>
  <c r="O25" i="25"/>
  <c r="N25" i="25"/>
  <c r="M25" i="25"/>
  <c r="L25" i="25"/>
  <c r="K25" i="25"/>
  <c r="J25" i="25"/>
  <c r="P24" i="25"/>
  <c r="O24" i="25"/>
  <c r="N24" i="25"/>
  <c r="M24" i="25"/>
  <c r="L24" i="25"/>
  <c r="K24" i="25"/>
  <c r="J24" i="25"/>
  <c r="P23" i="25"/>
  <c r="O23" i="25"/>
  <c r="N23" i="25"/>
  <c r="M23" i="25"/>
  <c r="L23" i="25"/>
  <c r="K23" i="25"/>
  <c r="J23" i="25"/>
  <c r="P22" i="25"/>
  <c r="O22" i="25"/>
  <c r="N22" i="25"/>
  <c r="M22" i="25"/>
  <c r="L22" i="25"/>
  <c r="K22" i="25"/>
  <c r="J22" i="25"/>
  <c r="P21" i="25"/>
  <c r="O21" i="25"/>
  <c r="N21" i="25"/>
  <c r="M21" i="25"/>
  <c r="L21" i="25"/>
  <c r="K21" i="25"/>
  <c r="J21" i="25"/>
  <c r="P20" i="25"/>
  <c r="O20" i="25"/>
  <c r="N20" i="25"/>
  <c r="M20" i="25"/>
  <c r="L20" i="25"/>
  <c r="K20" i="25"/>
  <c r="J20" i="25"/>
  <c r="P19" i="25"/>
  <c r="O19" i="25"/>
  <c r="N19" i="25"/>
  <c r="M19" i="25"/>
  <c r="L19" i="25"/>
  <c r="K19" i="25"/>
  <c r="J19" i="25"/>
  <c r="P18" i="25"/>
  <c r="O18" i="25"/>
  <c r="N18" i="25"/>
  <c r="M18" i="25"/>
  <c r="L18" i="25"/>
  <c r="K18" i="25"/>
  <c r="J18" i="25"/>
  <c r="P17" i="25"/>
  <c r="O17" i="25"/>
  <c r="N17" i="25"/>
  <c r="M17" i="25"/>
  <c r="L17" i="25"/>
  <c r="K17" i="25"/>
  <c r="J17" i="25"/>
  <c r="P16" i="25"/>
  <c r="O16" i="25"/>
  <c r="N16" i="25"/>
  <c r="M16" i="25"/>
  <c r="L16" i="25"/>
  <c r="K16" i="25"/>
  <c r="J16" i="25"/>
  <c r="P15" i="25"/>
  <c r="O15" i="25"/>
  <c r="N15" i="25"/>
  <c r="M15" i="25"/>
  <c r="L15" i="25"/>
  <c r="K15" i="25"/>
  <c r="J15" i="25"/>
  <c r="P14" i="25"/>
  <c r="O14" i="25"/>
  <c r="N14" i="25"/>
  <c r="M14" i="25"/>
  <c r="L14" i="25"/>
  <c r="K14" i="25"/>
  <c r="J14" i="25"/>
  <c r="P13" i="25"/>
  <c r="O13" i="25"/>
  <c r="N13" i="25"/>
  <c r="M13" i="25"/>
  <c r="L13" i="25"/>
  <c r="K13" i="25"/>
  <c r="J13" i="25"/>
  <c r="P12" i="25"/>
  <c r="O12" i="25"/>
  <c r="N12" i="25"/>
  <c r="M12" i="25"/>
  <c r="L12" i="25"/>
  <c r="K12" i="25"/>
  <c r="J12" i="25"/>
  <c r="P11" i="25"/>
  <c r="O11" i="25"/>
  <c r="N11" i="25"/>
  <c r="M11" i="25"/>
  <c r="L11" i="25"/>
  <c r="K11" i="25"/>
  <c r="J11" i="25"/>
  <c r="P10" i="25"/>
  <c r="O10" i="25"/>
  <c r="N10" i="25"/>
  <c r="M10" i="25"/>
  <c r="L10" i="25"/>
  <c r="K10" i="25"/>
  <c r="J10" i="25"/>
  <c r="P9" i="25"/>
  <c r="O9" i="25"/>
  <c r="N9" i="25"/>
  <c r="M9" i="25"/>
  <c r="L9" i="25"/>
  <c r="K9" i="25"/>
  <c r="J9" i="25"/>
  <c r="P8" i="25"/>
  <c r="O8" i="25"/>
  <c r="N8" i="25"/>
  <c r="M8" i="25"/>
  <c r="L8" i="25"/>
  <c r="K8" i="25"/>
  <c r="J8" i="25"/>
  <c r="P7" i="25"/>
  <c r="O7" i="25"/>
  <c r="N7" i="25"/>
  <c r="M7" i="25"/>
  <c r="L7" i="25"/>
  <c r="K7" i="25"/>
  <c r="J7" i="25"/>
  <c r="P6" i="25"/>
  <c r="O6" i="25"/>
  <c r="N6" i="25"/>
  <c r="M6" i="25"/>
  <c r="L6" i="25"/>
  <c r="K6" i="25"/>
  <c r="J6" i="25"/>
  <c r="P5" i="25"/>
  <c r="O5" i="25"/>
  <c r="N5" i="25"/>
  <c r="M5" i="25"/>
  <c r="L5" i="25"/>
  <c r="K5" i="25"/>
  <c r="J5" i="25"/>
  <c r="P4" i="25"/>
  <c r="O4" i="25"/>
  <c r="N4" i="25"/>
  <c r="M4" i="25"/>
  <c r="L4" i="25"/>
  <c r="K4" i="25"/>
  <c r="J4" i="25"/>
  <c r="P3" i="25"/>
  <c r="O3" i="25"/>
  <c r="N3" i="25"/>
  <c r="M3" i="25"/>
  <c r="L3" i="25"/>
  <c r="K3" i="25"/>
  <c r="J3" i="25"/>
  <c r="P51" i="24"/>
  <c r="O51" i="24"/>
  <c r="N51" i="24"/>
  <c r="M51" i="24"/>
  <c r="L51" i="24"/>
  <c r="K51" i="24"/>
  <c r="J51" i="24"/>
  <c r="P50" i="24"/>
  <c r="O50" i="24"/>
  <c r="N50" i="24"/>
  <c r="M50" i="24"/>
  <c r="L50" i="24"/>
  <c r="K50" i="24"/>
  <c r="J50" i="24"/>
  <c r="P49" i="24"/>
  <c r="O49" i="24"/>
  <c r="N49" i="24"/>
  <c r="M49" i="24"/>
  <c r="L49" i="24"/>
  <c r="K49" i="24"/>
  <c r="J49" i="24"/>
  <c r="P48" i="24"/>
  <c r="O48" i="24"/>
  <c r="N48" i="24"/>
  <c r="M48" i="24"/>
  <c r="L48" i="24"/>
  <c r="K48" i="24"/>
  <c r="J48" i="24"/>
  <c r="P47" i="24"/>
  <c r="O47" i="24"/>
  <c r="N47" i="24"/>
  <c r="M47" i="24"/>
  <c r="L47" i="24"/>
  <c r="K47" i="24"/>
  <c r="J47" i="24"/>
  <c r="P46" i="24"/>
  <c r="O46" i="24"/>
  <c r="N46" i="24"/>
  <c r="M46" i="24"/>
  <c r="L46" i="24"/>
  <c r="K46" i="24"/>
  <c r="J46" i="24"/>
  <c r="P45" i="24"/>
  <c r="O45" i="24"/>
  <c r="N45" i="24"/>
  <c r="M45" i="24"/>
  <c r="L45" i="24"/>
  <c r="K45" i="24"/>
  <c r="J45" i="24"/>
  <c r="P44" i="24"/>
  <c r="O44" i="24"/>
  <c r="N44" i="24"/>
  <c r="M44" i="24"/>
  <c r="L44" i="24"/>
  <c r="K44" i="24"/>
  <c r="J44" i="24"/>
  <c r="P43" i="24"/>
  <c r="O43" i="24"/>
  <c r="N43" i="24"/>
  <c r="M43" i="24"/>
  <c r="L43" i="24"/>
  <c r="K43" i="24"/>
  <c r="J43" i="24"/>
  <c r="P42" i="24"/>
  <c r="O42" i="24"/>
  <c r="N42" i="24"/>
  <c r="M42" i="24"/>
  <c r="L42" i="24"/>
  <c r="K42" i="24"/>
  <c r="J42" i="24"/>
  <c r="P41" i="24"/>
  <c r="O41" i="24"/>
  <c r="N41" i="24"/>
  <c r="M41" i="24"/>
  <c r="L41" i="24"/>
  <c r="K41" i="24"/>
  <c r="J41" i="24"/>
  <c r="P40" i="24"/>
  <c r="O40" i="24"/>
  <c r="N40" i="24"/>
  <c r="M40" i="24"/>
  <c r="L40" i="24"/>
  <c r="K40" i="24"/>
  <c r="J40" i="24"/>
  <c r="P39" i="24"/>
  <c r="O39" i="24"/>
  <c r="N39" i="24"/>
  <c r="M39" i="24"/>
  <c r="L39" i="24"/>
  <c r="K39" i="24"/>
  <c r="J39" i="24"/>
  <c r="P38" i="24"/>
  <c r="O38" i="24"/>
  <c r="N38" i="24"/>
  <c r="M38" i="24"/>
  <c r="L38" i="24"/>
  <c r="K38" i="24"/>
  <c r="J38" i="24"/>
  <c r="P37" i="24"/>
  <c r="O37" i="24"/>
  <c r="N37" i="24"/>
  <c r="M37" i="24"/>
  <c r="L37" i="24"/>
  <c r="K37" i="24"/>
  <c r="J37" i="24"/>
  <c r="P36" i="24"/>
  <c r="O36" i="24"/>
  <c r="N36" i="24"/>
  <c r="M36" i="24"/>
  <c r="L36" i="24"/>
  <c r="K36" i="24"/>
  <c r="J36" i="24"/>
  <c r="P35" i="24"/>
  <c r="O35" i="24"/>
  <c r="N35" i="24"/>
  <c r="M35" i="24"/>
  <c r="L35" i="24"/>
  <c r="K35" i="24"/>
  <c r="J35" i="24"/>
  <c r="P34" i="24"/>
  <c r="O34" i="24"/>
  <c r="N34" i="24"/>
  <c r="M34" i="24"/>
  <c r="L34" i="24"/>
  <c r="K34" i="24"/>
  <c r="J34" i="24"/>
  <c r="P33" i="24"/>
  <c r="O33" i="24"/>
  <c r="N33" i="24"/>
  <c r="M33" i="24"/>
  <c r="L33" i="24"/>
  <c r="K33" i="24"/>
  <c r="J33" i="24"/>
  <c r="P32" i="24"/>
  <c r="O32" i="24"/>
  <c r="N32" i="24"/>
  <c r="M32" i="24"/>
  <c r="L32" i="24"/>
  <c r="K32" i="24"/>
  <c r="J32" i="24"/>
  <c r="P31" i="24"/>
  <c r="O31" i="24"/>
  <c r="N31" i="24"/>
  <c r="M31" i="24"/>
  <c r="L31" i="24"/>
  <c r="K31" i="24"/>
  <c r="J31" i="24"/>
  <c r="P30" i="24"/>
  <c r="O30" i="24"/>
  <c r="N30" i="24"/>
  <c r="M30" i="24"/>
  <c r="L30" i="24"/>
  <c r="K30" i="24"/>
  <c r="J30" i="24"/>
  <c r="P29" i="24"/>
  <c r="O29" i="24"/>
  <c r="N29" i="24"/>
  <c r="M29" i="24"/>
  <c r="L29" i="24"/>
  <c r="K29" i="24"/>
  <c r="J29" i="24"/>
  <c r="P28" i="24"/>
  <c r="O28" i="24"/>
  <c r="N28" i="24"/>
  <c r="M28" i="24"/>
  <c r="L28" i="24"/>
  <c r="K28" i="24"/>
  <c r="J28" i="24"/>
  <c r="P27" i="24"/>
  <c r="O27" i="24"/>
  <c r="N27" i="24"/>
  <c r="M27" i="24"/>
  <c r="L27" i="24"/>
  <c r="K27" i="24"/>
  <c r="J27" i="24"/>
  <c r="P26" i="24"/>
  <c r="O26" i="24"/>
  <c r="N26" i="24"/>
  <c r="M26" i="24"/>
  <c r="L26" i="24"/>
  <c r="K26" i="24"/>
  <c r="J26" i="24"/>
  <c r="P25" i="24"/>
  <c r="O25" i="24"/>
  <c r="N25" i="24"/>
  <c r="M25" i="24"/>
  <c r="L25" i="24"/>
  <c r="K25" i="24"/>
  <c r="J25" i="24"/>
  <c r="P24" i="24"/>
  <c r="O24" i="24"/>
  <c r="N24" i="24"/>
  <c r="M24" i="24"/>
  <c r="L24" i="24"/>
  <c r="K24" i="24"/>
  <c r="J24" i="24"/>
  <c r="P23" i="24"/>
  <c r="O23" i="24"/>
  <c r="N23" i="24"/>
  <c r="M23" i="24"/>
  <c r="L23" i="24"/>
  <c r="K23" i="24"/>
  <c r="J23" i="24"/>
  <c r="P22" i="24"/>
  <c r="O22" i="24"/>
  <c r="N22" i="24"/>
  <c r="M22" i="24"/>
  <c r="L22" i="24"/>
  <c r="K22" i="24"/>
  <c r="J22" i="24"/>
  <c r="P21" i="24"/>
  <c r="O21" i="24"/>
  <c r="N21" i="24"/>
  <c r="M21" i="24"/>
  <c r="L21" i="24"/>
  <c r="K21" i="24"/>
  <c r="J21" i="24"/>
  <c r="P20" i="24"/>
  <c r="O20" i="24"/>
  <c r="N20" i="24"/>
  <c r="M20" i="24"/>
  <c r="L20" i="24"/>
  <c r="K20" i="24"/>
  <c r="J20" i="24"/>
  <c r="P19" i="24"/>
  <c r="O19" i="24"/>
  <c r="N19" i="24"/>
  <c r="M19" i="24"/>
  <c r="L19" i="24"/>
  <c r="K19" i="24"/>
  <c r="J19" i="24"/>
  <c r="P18" i="24"/>
  <c r="O18" i="24"/>
  <c r="N18" i="24"/>
  <c r="M18" i="24"/>
  <c r="L18" i="24"/>
  <c r="K18" i="24"/>
  <c r="J18" i="24"/>
  <c r="P17" i="24"/>
  <c r="O17" i="24"/>
  <c r="N17" i="24"/>
  <c r="M17" i="24"/>
  <c r="L17" i="24"/>
  <c r="K17" i="24"/>
  <c r="J17" i="24"/>
  <c r="P16" i="24"/>
  <c r="O16" i="24"/>
  <c r="N16" i="24"/>
  <c r="M16" i="24"/>
  <c r="L16" i="24"/>
  <c r="K16" i="24"/>
  <c r="J16" i="24"/>
  <c r="P15" i="24"/>
  <c r="O15" i="24"/>
  <c r="N15" i="24"/>
  <c r="M15" i="24"/>
  <c r="L15" i="24"/>
  <c r="K15" i="24"/>
  <c r="J15" i="24"/>
  <c r="P14" i="24"/>
  <c r="O14" i="24"/>
  <c r="N14" i="24"/>
  <c r="M14" i="24"/>
  <c r="L14" i="24"/>
  <c r="K14" i="24"/>
  <c r="J14" i="24"/>
  <c r="P13" i="24"/>
  <c r="O13" i="24"/>
  <c r="N13" i="24"/>
  <c r="M13" i="24"/>
  <c r="L13" i="24"/>
  <c r="K13" i="24"/>
  <c r="J13" i="24"/>
  <c r="P12" i="24"/>
  <c r="O12" i="24"/>
  <c r="N12" i="24"/>
  <c r="M12" i="24"/>
  <c r="L12" i="24"/>
  <c r="K12" i="24"/>
  <c r="J12" i="24"/>
  <c r="P11" i="24"/>
  <c r="O11" i="24"/>
  <c r="N11" i="24"/>
  <c r="M11" i="24"/>
  <c r="L11" i="24"/>
  <c r="K11" i="24"/>
  <c r="J11" i="24"/>
  <c r="P10" i="24"/>
  <c r="O10" i="24"/>
  <c r="N10" i="24"/>
  <c r="M10" i="24"/>
  <c r="L10" i="24"/>
  <c r="K10" i="24"/>
  <c r="J10" i="24"/>
  <c r="P9" i="24"/>
  <c r="O9" i="24"/>
  <c r="N9" i="24"/>
  <c r="M9" i="24"/>
  <c r="L9" i="24"/>
  <c r="K9" i="24"/>
  <c r="J9" i="24"/>
  <c r="P8" i="24"/>
  <c r="O8" i="24"/>
  <c r="N8" i="24"/>
  <c r="M8" i="24"/>
  <c r="L8" i="24"/>
  <c r="K8" i="24"/>
  <c r="J8" i="24"/>
  <c r="P7" i="24"/>
  <c r="O7" i="24"/>
  <c r="N7" i="24"/>
  <c r="M7" i="24"/>
  <c r="L7" i="24"/>
  <c r="K7" i="24"/>
  <c r="J7" i="24"/>
  <c r="P6" i="24"/>
  <c r="O6" i="24"/>
  <c r="N6" i="24"/>
  <c r="M6" i="24"/>
  <c r="L6" i="24"/>
  <c r="K6" i="24"/>
  <c r="J6" i="24"/>
  <c r="P5" i="24"/>
  <c r="O5" i="24"/>
  <c r="N5" i="24"/>
  <c r="M5" i="24"/>
  <c r="L5" i="24"/>
  <c r="K5" i="24"/>
  <c r="J5" i="24"/>
  <c r="P4" i="24"/>
  <c r="O4" i="24"/>
  <c r="N4" i="24"/>
  <c r="M4" i="24"/>
  <c r="L4" i="24"/>
  <c r="K4" i="24"/>
  <c r="J4" i="24"/>
  <c r="P3" i="24"/>
  <c r="O3" i="24"/>
  <c r="N3" i="24"/>
  <c r="M3" i="24"/>
  <c r="L3" i="24"/>
  <c r="K3" i="24"/>
  <c r="J3" i="24"/>
  <c r="P51" i="23"/>
  <c r="O51" i="23"/>
  <c r="N51" i="23"/>
  <c r="M51" i="23"/>
  <c r="L51" i="23"/>
  <c r="K51" i="23"/>
  <c r="J51" i="23"/>
  <c r="P50" i="23"/>
  <c r="O50" i="23"/>
  <c r="N50" i="23"/>
  <c r="M50" i="23"/>
  <c r="L50" i="23"/>
  <c r="K50" i="23"/>
  <c r="J50" i="23"/>
  <c r="P49" i="23"/>
  <c r="O49" i="23"/>
  <c r="N49" i="23"/>
  <c r="M49" i="23"/>
  <c r="L49" i="23"/>
  <c r="K49" i="23"/>
  <c r="J49" i="23"/>
  <c r="P48" i="23"/>
  <c r="O48" i="23"/>
  <c r="N48" i="23"/>
  <c r="M48" i="23"/>
  <c r="L48" i="23"/>
  <c r="K48" i="23"/>
  <c r="J48" i="23"/>
  <c r="P47" i="23"/>
  <c r="O47" i="23"/>
  <c r="N47" i="23"/>
  <c r="M47" i="23"/>
  <c r="L47" i="23"/>
  <c r="K47" i="23"/>
  <c r="J47" i="23"/>
  <c r="P46" i="23"/>
  <c r="O46" i="23"/>
  <c r="N46" i="23"/>
  <c r="M46" i="23"/>
  <c r="L46" i="23"/>
  <c r="K46" i="23"/>
  <c r="J46" i="23"/>
  <c r="P45" i="23"/>
  <c r="O45" i="23"/>
  <c r="N45" i="23"/>
  <c r="M45" i="23"/>
  <c r="L45" i="23"/>
  <c r="K45" i="23"/>
  <c r="J45" i="23"/>
  <c r="P44" i="23"/>
  <c r="O44" i="23"/>
  <c r="N44" i="23"/>
  <c r="M44" i="23"/>
  <c r="L44" i="23"/>
  <c r="K44" i="23"/>
  <c r="J44" i="23"/>
  <c r="P43" i="23"/>
  <c r="O43" i="23"/>
  <c r="N43" i="23"/>
  <c r="M43" i="23"/>
  <c r="L43" i="23"/>
  <c r="K43" i="23"/>
  <c r="J43" i="23"/>
  <c r="P42" i="23"/>
  <c r="O42" i="23"/>
  <c r="N42" i="23"/>
  <c r="M42" i="23"/>
  <c r="L42" i="23"/>
  <c r="K42" i="23"/>
  <c r="J42" i="23"/>
  <c r="P41" i="23"/>
  <c r="O41" i="23"/>
  <c r="N41" i="23"/>
  <c r="M41" i="23"/>
  <c r="L41" i="23"/>
  <c r="K41" i="23"/>
  <c r="J41" i="23"/>
  <c r="P40" i="23"/>
  <c r="O40" i="23"/>
  <c r="N40" i="23"/>
  <c r="M40" i="23"/>
  <c r="L40" i="23"/>
  <c r="K40" i="23"/>
  <c r="J40" i="23"/>
  <c r="P39" i="23"/>
  <c r="O39" i="23"/>
  <c r="N39" i="23"/>
  <c r="M39" i="23"/>
  <c r="L39" i="23"/>
  <c r="K39" i="23"/>
  <c r="J39" i="23"/>
  <c r="P38" i="23"/>
  <c r="O38" i="23"/>
  <c r="N38" i="23"/>
  <c r="M38" i="23"/>
  <c r="L38" i="23"/>
  <c r="K38" i="23"/>
  <c r="J38" i="23"/>
  <c r="P37" i="23"/>
  <c r="O37" i="23"/>
  <c r="N37" i="23"/>
  <c r="M37" i="23"/>
  <c r="L37" i="23"/>
  <c r="K37" i="23"/>
  <c r="J37" i="23"/>
  <c r="P36" i="23"/>
  <c r="O36" i="23"/>
  <c r="N36" i="23"/>
  <c r="M36" i="23"/>
  <c r="L36" i="23"/>
  <c r="K36" i="23"/>
  <c r="J36" i="23"/>
  <c r="P35" i="23"/>
  <c r="O35" i="23"/>
  <c r="N35" i="23"/>
  <c r="M35" i="23"/>
  <c r="L35" i="23"/>
  <c r="K35" i="23"/>
  <c r="J35" i="23"/>
  <c r="P34" i="23"/>
  <c r="O34" i="23"/>
  <c r="N34" i="23"/>
  <c r="M34" i="23"/>
  <c r="L34" i="23"/>
  <c r="K34" i="23"/>
  <c r="J34" i="23"/>
  <c r="P33" i="23"/>
  <c r="O33" i="23"/>
  <c r="N33" i="23"/>
  <c r="M33" i="23"/>
  <c r="L33" i="23"/>
  <c r="K33" i="23"/>
  <c r="J33" i="23"/>
  <c r="P32" i="23"/>
  <c r="O32" i="23"/>
  <c r="N32" i="23"/>
  <c r="M32" i="23"/>
  <c r="L32" i="23"/>
  <c r="K32" i="23"/>
  <c r="J32" i="23"/>
  <c r="P31" i="23"/>
  <c r="O31" i="23"/>
  <c r="N31" i="23"/>
  <c r="M31" i="23"/>
  <c r="L31" i="23"/>
  <c r="K31" i="23"/>
  <c r="J31" i="23"/>
  <c r="P30" i="23"/>
  <c r="O30" i="23"/>
  <c r="N30" i="23"/>
  <c r="M30" i="23"/>
  <c r="L30" i="23"/>
  <c r="K30" i="23"/>
  <c r="J30" i="23"/>
  <c r="P29" i="23"/>
  <c r="O29" i="23"/>
  <c r="N29" i="23"/>
  <c r="M29" i="23"/>
  <c r="L29" i="23"/>
  <c r="K29" i="23"/>
  <c r="J29" i="23"/>
  <c r="P28" i="23"/>
  <c r="O28" i="23"/>
  <c r="N28" i="23"/>
  <c r="M28" i="23"/>
  <c r="L28" i="23"/>
  <c r="K28" i="23"/>
  <c r="J28" i="23"/>
  <c r="P27" i="23"/>
  <c r="O27" i="23"/>
  <c r="N27" i="23"/>
  <c r="M27" i="23"/>
  <c r="L27" i="23"/>
  <c r="K27" i="23"/>
  <c r="J27" i="23"/>
  <c r="P26" i="23"/>
  <c r="O26" i="23"/>
  <c r="N26" i="23"/>
  <c r="M26" i="23"/>
  <c r="L26" i="23"/>
  <c r="K26" i="23"/>
  <c r="J26" i="23"/>
  <c r="P25" i="23"/>
  <c r="O25" i="23"/>
  <c r="N25" i="23"/>
  <c r="M25" i="23"/>
  <c r="L25" i="23"/>
  <c r="K25" i="23"/>
  <c r="J25" i="23"/>
  <c r="P24" i="23"/>
  <c r="O24" i="23"/>
  <c r="N24" i="23"/>
  <c r="M24" i="23"/>
  <c r="L24" i="23"/>
  <c r="K24" i="23"/>
  <c r="J24" i="23"/>
  <c r="P23" i="23"/>
  <c r="O23" i="23"/>
  <c r="N23" i="23"/>
  <c r="M23" i="23"/>
  <c r="L23" i="23"/>
  <c r="K23" i="23"/>
  <c r="J23" i="23"/>
  <c r="P22" i="23"/>
  <c r="O22" i="23"/>
  <c r="N22" i="23"/>
  <c r="M22" i="23"/>
  <c r="L22" i="23"/>
  <c r="K22" i="23"/>
  <c r="J22" i="23"/>
  <c r="P21" i="23"/>
  <c r="O21" i="23"/>
  <c r="N21" i="23"/>
  <c r="M21" i="23"/>
  <c r="L21" i="23"/>
  <c r="K21" i="23"/>
  <c r="J21" i="23"/>
  <c r="P20" i="23"/>
  <c r="O20" i="23"/>
  <c r="N20" i="23"/>
  <c r="M20" i="23"/>
  <c r="L20" i="23"/>
  <c r="K20" i="23"/>
  <c r="J20" i="23"/>
  <c r="P19" i="23"/>
  <c r="O19" i="23"/>
  <c r="N19" i="23"/>
  <c r="M19" i="23"/>
  <c r="L19" i="23"/>
  <c r="K19" i="23"/>
  <c r="J19" i="23"/>
  <c r="P18" i="23"/>
  <c r="O18" i="23"/>
  <c r="N18" i="23"/>
  <c r="M18" i="23"/>
  <c r="L18" i="23"/>
  <c r="K18" i="23"/>
  <c r="J18" i="23"/>
  <c r="P17" i="23"/>
  <c r="O17" i="23"/>
  <c r="N17" i="23"/>
  <c r="M17" i="23"/>
  <c r="L17" i="23"/>
  <c r="K17" i="23"/>
  <c r="J17" i="23"/>
  <c r="P16" i="23"/>
  <c r="O16" i="23"/>
  <c r="N16" i="23"/>
  <c r="M16" i="23"/>
  <c r="L16" i="23"/>
  <c r="K16" i="23"/>
  <c r="J16" i="23"/>
  <c r="P15" i="23"/>
  <c r="O15" i="23"/>
  <c r="N15" i="23"/>
  <c r="M15" i="23"/>
  <c r="L15" i="23"/>
  <c r="K15" i="23"/>
  <c r="J15" i="23"/>
  <c r="P14" i="23"/>
  <c r="O14" i="23"/>
  <c r="N14" i="23"/>
  <c r="M14" i="23"/>
  <c r="L14" i="23"/>
  <c r="K14" i="23"/>
  <c r="J14" i="23"/>
  <c r="P13" i="23"/>
  <c r="O13" i="23"/>
  <c r="N13" i="23"/>
  <c r="M13" i="23"/>
  <c r="L13" i="23"/>
  <c r="K13" i="23"/>
  <c r="J13" i="23"/>
  <c r="P12" i="23"/>
  <c r="O12" i="23"/>
  <c r="N12" i="23"/>
  <c r="M12" i="23"/>
  <c r="L12" i="23"/>
  <c r="K12" i="23"/>
  <c r="J12" i="23"/>
  <c r="P11" i="23"/>
  <c r="O11" i="23"/>
  <c r="N11" i="23"/>
  <c r="M11" i="23"/>
  <c r="L11" i="23"/>
  <c r="K11" i="23"/>
  <c r="J11" i="23"/>
  <c r="P10" i="23"/>
  <c r="O10" i="23"/>
  <c r="N10" i="23"/>
  <c r="M10" i="23"/>
  <c r="L10" i="23"/>
  <c r="K10" i="23"/>
  <c r="J10" i="23"/>
  <c r="P9" i="23"/>
  <c r="O9" i="23"/>
  <c r="N9" i="23"/>
  <c r="M9" i="23"/>
  <c r="L9" i="23"/>
  <c r="K9" i="23"/>
  <c r="J9" i="23"/>
  <c r="P8" i="23"/>
  <c r="O8" i="23"/>
  <c r="N8" i="23"/>
  <c r="M8" i="23"/>
  <c r="L8" i="23"/>
  <c r="K8" i="23"/>
  <c r="J8" i="23"/>
  <c r="P7" i="23"/>
  <c r="O7" i="23"/>
  <c r="N7" i="23"/>
  <c r="M7" i="23"/>
  <c r="L7" i="23"/>
  <c r="K7" i="23"/>
  <c r="J7" i="23"/>
  <c r="P6" i="23"/>
  <c r="O6" i="23"/>
  <c r="N6" i="23"/>
  <c r="M6" i="23"/>
  <c r="L6" i="23"/>
  <c r="K6" i="23"/>
  <c r="J6" i="23"/>
  <c r="P5" i="23"/>
  <c r="O5" i="23"/>
  <c r="N5" i="23"/>
  <c r="M5" i="23"/>
  <c r="L5" i="23"/>
  <c r="K5" i="23"/>
  <c r="J5" i="23"/>
  <c r="P4" i="23"/>
  <c r="O4" i="23"/>
  <c r="N4" i="23"/>
  <c r="M4" i="23"/>
  <c r="L4" i="23"/>
  <c r="K4" i="23"/>
  <c r="J4" i="23"/>
  <c r="P3" i="23"/>
  <c r="O3" i="23"/>
  <c r="N3" i="23"/>
  <c r="M3" i="23"/>
  <c r="L3" i="23"/>
  <c r="K3" i="23"/>
  <c r="J3" i="23"/>
  <c r="P51" i="22"/>
  <c r="O51" i="22"/>
  <c r="N51" i="22"/>
  <c r="M51" i="22"/>
  <c r="L51" i="22"/>
  <c r="K51" i="22"/>
  <c r="J51" i="22"/>
  <c r="P50" i="22"/>
  <c r="O50" i="22"/>
  <c r="N50" i="22"/>
  <c r="M50" i="22"/>
  <c r="L50" i="22"/>
  <c r="K50" i="22"/>
  <c r="J50" i="22"/>
  <c r="P49" i="22"/>
  <c r="O49" i="22"/>
  <c r="N49" i="22"/>
  <c r="M49" i="22"/>
  <c r="L49" i="22"/>
  <c r="K49" i="22"/>
  <c r="J49" i="22"/>
  <c r="P48" i="22"/>
  <c r="O48" i="22"/>
  <c r="N48" i="22"/>
  <c r="M48" i="22"/>
  <c r="L48" i="22"/>
  <c r="K48" i="22"/>
  <c r="J48" i="22"/>
  <c r="P47" i="22"/>
  <c r="O47" i="22"/>
  <c r="N47" i="22"/>
  <c r="M47" i="22"/>
  <c r="L47" i="22"/>
  <c r="K47" i="22"/>
  <c r="J47" i="22"/>
  <c r="P46" i="22"/>
  <c r="O46" i="22"/>
  <c r="N46" i="22"/>
  <c r="M46" i="22"/>
  <c r="L46" i="22"/>
  <c r="K46" i="22"/>
  <c r="J46" i="22"/>
  <c r="P45" i="22"/>
  <c r="O45" i="22"/>
  <c r="N45" i="22"/>
  <c r="M45" i="22"/>
  <c r="L45" i="22"/>
  <c r="K45" i="22"/>
  <c r="J45" i="22"/>
  <c r="P44" i="22"/>
  <c r="O44" i="22"/>
  <c r="N44" i="22"/>
  <c r="M44" i="22"/>
  <c r="L44" i="22"/>
  <c r="K44" i="22"/>
  <c r="J44" i="22"/>
  <c r="P43" i="22"/>
  <c r="O43" i="22"/>
  <c r="N43" i="22"/>
  <c r="M43" i="22"/>
  <c r="L43" i="22"/>
  <c r="K43" i="22"/>
  <c r="J43" i="22"/>
  <c r="P42" i="22"/>
  <c r="O42" i="22"/>
  <c r="N42" i="22"/>
  <c r="M42" i="22"/>
  <c r="L42" i="22"/>
  <c r="K42" i="22"/>
  <c r="J42" i="22"/>
  <c r="P41" i="22"/>
  <c r="O41" i="22"/>
  <c r="N41" i="22"/>
  <c r="M41" i="22"/>
  <c r="L41" i="22"/>
  <c r="K41" i="22"/>
  <c r="J41" i="22"/>
  <c r="P40" i="22"/>
  <c r="O40" i="22"/>
  <c r="N40" i="22"/>
  <c r="M40" i="22"/>
  <c r="L40" i="22"/>
  <c r="K40" i="22"/>
  <c r="J40" i="22"/>
  <c r="P39" i="22"/>
  <c r="O39" i="22"/>
  <c r="N39" i="22"/>
  <c r="M39" i="22"/>
  <c r="L39" i="22"/>
  <c r="K39" i="22"/>
  <c r="J39" i="22"/>
  <c r="P38" i="22"/>
  <c r="O38" i="22"/>
  <c r="N38" i="22"/>
  <c r="M38" i="22"/>
  <c r="L38" i="22"/>
  <c r="K38" i="22"/>
  <c r="J38" i="22"/>
  <c r="P37" i="22"/>
  <c r="O37" i="22"/>
  <c r="N37" i="22"/>
  <c r="M37" i="22"/>
  <c r="L37" i="22"/>
  <c r="K37" i="22"/>
  <c r="J37" i="22"/>
  <c r="P36" i="22"/>
  <c r="O36" i="22"/>
  <c r="N36" i="22"/>
  <c r="M36" i="22"/>
  <c r="L36" i="22"/>
  <c r="K36" i="22"/>
  <c r="J36" i="22"/>
  <c r="P35" i="22"/>
  <c r="O35" i="22"/>
  <c r="N35" i="22"/>
  <c r="M35" i="22"/>
  <c r="L35" i="22"/>
  <c r="K35" i="22"/>
  <c r="J35" i="22"/>
  <c r="P34" i="22"/>
  <c r="O34" i="22"/>
  <c r="N34" i="22"/>
  <c r="M34" i="22"/>
  <c r="L34" i="22"/>
  <c r="K34" i="22"/>
  <c r="J34" i="22"/>
  <c r="P33" i="22"/>
  <c r="O33" i="22"/>
  <c r="N33" i="22"/>
  <c r="M33" i="22"/>
  <c r="L33" i="22"/>
  <c r="K33" i="22"/>
  <c r="J33" i="22"/>
  <c r="P32" i="22"/>
  <c r="O32" i="22"/>
  <c r="N32" i="22"/>
  <c r="M32" i="22"/>
  <c r="L32" i="22"/>
  <c r="K32" i="22"/>
  <c r="J32" i="22"/>
  <c r="P31" i="22"/>
  <c r="O31" i="22"/>
  <c r="N31" i="22"/>
  <c r="M31" i="22"/>
  <c r="L31" i="22"/>
  <c r="K31" i="22"/>
  <c r="J31" i="22"/>
  <c r="P30" i="22"/>
  <c r="O30" i="22"/>
  <c r="N30" i="22"/>
  <c r="M30" i="22"/>
  <c r="L30" i="22"/>
  <c r="K30" i="22"/>
  <c r="J30" i="22"/>
  <c r="P29" i="22"/>
  <c r="O29" i="22"/>
  <c r="N29" i="22"/>
  <c r="M29" i="22"/>
  <c r="L29" i="22"/>
  <c r="K29" i="22"/>
  <c r="J29" i="22"/>
  <c r="P28" i="22"/>
  <c r="O28" i="22"/>
  <c r="N28" i="22"/>
  <c r="M28" i="22"/>
  <c r="L28" i="22"/>
  <c r="K28" i="22"/>
  <c r="J28" i="22"/>
  <c r="P27" i="22"/>
  <c r="O27" i="22"/>
  <c r="N27" i="22"/>
  <c r="M27" i="22"/>
  <c r="L27" i="22"/>
  <c r="K27" i="22"/>
  <c r="J27" i="22"/>
  <c r="P26" i="22"/>
  <c r="O26" i="22"/>
  <c r="N26" i="22"/>
  <c r="M26" i="22"/>
  <c r="L26" i="22"/>
  <c r="K26" i="22"/>
  <c r="J26" i="22"/>
  <c r="P25" i="22"/>
  <c r="O25" i="22"/>
  <c r="N25" i="22"/>
  <c r="M25" i="22"/>
  <c r="L25" i="22"/>
  <c r="K25" i="22"/>
  <c r="J25" i="22"/>
  <c r="P24" i="22"/>
  <c r="O24" i="22"/>
  <c r="N24" i="22"/>
  <c r="M24" i="22"/>
  <c r="L24" i="22"/>
  <c r="K24" i="22"/>
  <c r="J24" i="22"/>
  <c r="P23" i="22"/>
  <c r="O23" i="22"/>
  <c r="N23" i="22"/>
  <c r="M23" i="22"/>
  <c r="L23" i="22"/>
  <c r="K23" i="22"/>
  <c r="J23" i="22"/>
  <c r="P22" i="22"/>
  <c r="O22" i="22"/>
  <c r="N22" i="22"/>
  <c r="M22" i="22"/>
  <c r="L22" i="22"/>
  <c r="K22" i="22"/>
  <c r="J22" i="22"/>
  <c r="P21" i="22"/>
  <c r="O21" i="22"/>
  <c r="N21" i="22"/>
  <c r="M21" i="22"/>
  <c r="L21" i="22"/>
  <c r="K21" i="22"/>
  <c r="J21" i="22"/>
  <c r="P20" i="22"/>
  <c r="O20" i="22"/>
  <c r="N20" i="22"/>
  <c r="M20" i="22"/>
  <c r="L20" i="22"/>
  <c r="K20" i="22"/>
  <c r="J20" i="22"/>
  <c r="P19" i="22"/>
  <c r="O19" i="22"/>
  <c r="N19" i="22"/>
  <c r="M19" i="22"/>
  <c r="L19" i="22"/>
  <c r="K19" i="22"/>
  <c r="J19" i="22"/>
  <c r="P18" i="22"/>
  <c r="O18" i="22"/>
  <c r="N18" i="22"/>
  <c r="M18" i="22"/>
  <c r="L18" i="22"/>
  <c r="K18" i="22"/>
  <c r="J18" i="22"/>
  <c r="P17" i="22"/>
  <c r="O17" i="22"/>
  <c r="N17" i="22"/>
  <c r="M17" i="22"/>
  <c r="L17" i="22"/>
  <c r="K17" i="22"/>
  <c r="J17" i="22"/>
  <c r="P16" i="22"/>
  <c r="O16" i="22"/>
  <c r="N16" i="22"/>
  <c r="M16" i="22"/>
  <c r="L16" i="22"/>
  <c r="K16" i="22"/>
  <c r="J16" i="22"/>
  <c r="P15" i="22"/>
  <c r="O15" i="22"/>
  <c r="N15" i="22"/>
  <c r="M15" i="22"/>
  <c r="L15" i="22"/>
  <c r="K15" i="22"/>
  <c r="J15" i="22"/>
  <c r="P14" i="22"/>
  <c r="O14" i="22"/>
  <c r="N14" i="22"/>
  <c r="M14" i="22"/>
  <c r="L14" i="22"/>
  <c r="K14" i="22"/>
  <c r="J14" i="22"/>
  <c r="P13" i="22"/>
  <c r="O13" i="22"/>
  <c r="N13" i="22"/>
  <c r="M13" i="22"/>
  <c r="L13" i="22"/>
  <c r="K13" i="22"/>
  <c r="J13" i="22"/>
  <c r="P12" i="22"/>
  <c r="O12" i="22"/>
  <c r="N12" i="22"/>
  <c r="M12" i="22"/>
  <c r="L12" i="22"/>
  <c r="K12" i="22"/>
  <c r="J12" i="22"/>
  <c r="P11" i="22"/>
  <c r="O11" i="22"/>
  <c r="N11" i="22"/>
  <c r="M11" i="22"/>
  <c r="L11" i="22"/>
  <c r="K11" i="22"/>
  <c r="J11" i="22"/>
  <c r="P10" i="22"/>
  <c r="O10" i="22"/>
  <c r="N10" i="22"/>
  <c r="M10" i="22"/>
  <c r="L10" i="22"/>
  <c r="K10" i="22"/>
  <c r="J10" i="22"/>
  <c r="P9" i="22"/>
  <c r="O9" i="22"/>
  <c r="N9" i="22"/>
  <c r="M9" i="22"/>
  <c r="L9" i="22"/>
  <c r="K9" i="22"/>
  <c r="J9" i="22"/>
  <c r="P8" i="22"/>
  <c r="O8" i="22"/>
  <c r="N8" i="22"/>
  <c r="M8" i="22"/>
  <c r="L8" i="22"/>
  <c r="K8" i="22"/>
  <c r="J8" i="22"/>
  <c r="P7" i="22"/>
  <c r="O7" i="22"/>
  <c r="N7" i="22"/>
  <c r="M7" i="22"/>
  <c r="L7" i="22"/>
  <c r="K7" i="22"/>
  <c r="J7" i="22"/>
  <c r="P6" i="22"/>
  <c r="O6" i="22"/>
  <c r="N6" i="22"/>
  <c r="M6" i="22"/>
  <c r="L6" i="22"/>
  <c r="K6" i="22"/>
  <c r="J6" i="22"/>
  <c r="P5" i="22"/>
  <c r="O5" i="22"/>
  <c r="N5" i="22"/>
  <c r="M5" i="22"/>
  <c r="L5" i="22"/>
  <c r="K5" i="22"/>
  <c r="J5" i="22"/>
  <c r="P4" i="22"/>
  <c r="O4" i="22"/>
  <c r="N4" i="22"/>
  <c r="M4" i="22"/>
  <c r="L4" i="22"/>
  <c r="K4" i="22"/>
  <c r="J4" i="22"/>
  <c r="P3" i="22"/>
  <c r="O3" i="22"/>
  <c r="N3" i="22"/>
  <c r="M3" i="22"/>
  <c r="L3" i="22"/>
  <c r="K3" i="22"/>
  <c r="J3" i="22"/>
  <c r="K4" i="21"/>
  <c r="L4" i="21"/>
  <c r="M4" i="21"/>
  <c r="N4" i="21"/>
  <c r="O4" i="21"/>
  <c r="P4" i="21"/>
  <c r="K5" i="21"/>
  <c r="L5" i="21"/>
  <c r="M5" i="21"/>
  <c r="N5" i="21"/>
  <c r="O5" i="21"/>
  <c r="P5" i="21"/>
  <c r="K6" i="21"/>
  <c r="L6" i="21"/>
  <c r="M6" i="21"/>
  <c r="N6" i="21"/>
  <c r="O6" i="21"/>
  <c r="P6" i="21"/>
  <c r="K7" i="21"/>
  <c r="L7" i="21"/>
  <c r="M7" i="21"/>
  <c r="N7" i="21"/>
  <c r="O7" i="21"/>
  <c r="P7" i="21"/>
  <c r="K8" i="21"/>
  <c r="L8" i="21"/>
  <c r="M8" i="21"/>
  <c r="N8" i="21"/>
  <c r="O8" i="21"/>
  <c r="P8" i="21"/>
  <c r="K9" i="21"/>
  <c r="L9" i="21"/>
  <c r="M9" i="21"/>
  <c r="N9" i="21"/>
  <c r="O9" i="21"/>
  <c r="P9" i="21"/>
  <c r="K10" i="21"/>
  <c r="L10" i="21"/>
  <c r="M10" i="21"/>
  <c r="N10" i="21"/>
  <c r="O10" i="21"/>
  <c r="P10" i="21"/>
  <c r="K11" i="21"/>
  <c r="L11" i="21"/>
  <c r="M11" i="21"/>
  <c r="N11" i="21"/>
  <c r="O11" i="21"/>
  <c r="P11" i="21"/>
  <c r="K12" i="21"/>
  <c r="L12" i="21"/>
  <c r="M12" i="21"/>
  <c r="N12" i="21"/>
  <c r="O12" i="21"/>
  <c r="P12" i="21"/>
  <c r="K13" i="21"/>
  <c r="L13" i="21"/>
  <c r="M13" i="21"/>
  <c r="N13" i="21"/>
  <c r="O13" i="21"/>
  <c r="P13" i="21"/>
  <c r="K14" i="21"/>
  <c r="L14" i="21"/>
  <c r="M14" i="21"/>
  <c r="N14" i="21"/>
  <c r="O14" i="21"/>
  <c r="P14" i="21"/>
  <c r="K15" i="21"/>
  <c r="L15" i="21"/>
  <c r="M15" i="21"/>
  <c r="N15" i="21"/>
  <c r="O15" i="21"/>
  <c r="P15" i="21"/>
  <c r="K16" i="21"/>
  <c r="L16" i="21"/>
  <c r="M16" i="21"/>
  <c r="N16" i="21"/>
  <c r="O16" i="21"/>
  <c r="P16" i="21"/>
  <c r="K17" i="21"/>
  <c r="L17" i="21"/>
  <c r="M17" i="21"/>
  <c r="N17" i="21"/>
  <c r="O17" i="21"/>
  <c r="P17" i="21"/>
  <c r="K18" i="21"/>
  <c r="L18" i="21"/>
  <c r="M18" i="21"/>
  <c r="N18" i="21"/>
  <c r="O18" i="21"/>
  <c r="P18" i="21"/>
  <c r="K19" i="21"/>
  <c r="L19" i="21"/>
  <c r="M19" i="21"/>
  <c r="N19" i="21"/>
  <c r="O19" i="21"/>
  <c r="P19" i="21"/>
  <c r="K20" i="21"/>
  <c r="L20" i="21"/>
  <c r="M20" i="21"/>
  <c r="N20" i="21"/>
  <c r="O20" i="21"/>
  <c r="P20" i="21"/>
  <c r="K21" i="21"/>
  <c r="L21" i="21"/>
  <c r="M21" i="21"/>
  <c r="N21" i="21"/>
  <c r="O21" i="21"/>
  <c r="P21" i="21"/>
  <c r="K22" i="21"/>
  <c r="L22" i="21"/>
  <c r="M22" i="21"/>
  <c r="N22" i="21"/>
  <c r="O22" i="21"/>
  <c r="P22" i="21"/>
  <c r="K23" i="21"/>
  <c r="L23" i="21"/>
  <c r="M23" i="21"/>
  <c r="N23" i="21"/>
  <c r="O23" i="21"/>
  <c r="P23" i="21"/>
  <c r="K24" i="21"/>
  <c r="L24" i="21"/>
  <c r="M24" i="21"/>
  <c r="N24" i="21"/>
  <c r="O24" i="21"/>
  <c r="P24" i="21"/>
  <c r="K25" i="21"/>
  <c r="L25" i="21"/>
  <c r="M25" i="21"/>
  <c r="N25" i="21"/>
  <c r="O25" i="21"/>
  <c r="P25" i="21"/>
  <c r="K26" i="21"/>
  <c r="L26" i="21"/>
  <c r="M26" i="21"/>
  <c r="N26" i="21"/>
  <c r="O26" i="21"/>
  <c r="P26" i="21"/>
  <c r="K27" i="21"/>
  <c r="L27" i="21"/>
  <c r="M27" i="21"/>
  <c r="N27" i="21"/>
  <c r="O27" i="21"/>
  <c r="P27" i="21"/>
  <c r="K28" i="21"/>
  <c r="L28" i="21"/>
  <c r="M28" i="21"/>
  <c r="N28" i="21"/>
  <c r="O28" i="21"/>
  <c r="P28" i="21"/>
  <c r="K29" i="21"/>
  <c r="L29" i="21"/>
  <c r="M29" i="21"/>
  <c r="N29" i="21"/>
  <c r="O29" i="21"/>
  <c r="P29" i="21"/>
  <c r="K30" i="21"/>
  <c r="L30" i="21"/>
  <c r="M30" i="21"/>
  <c r="N30" i="21"/>
  <c r="O30" i="21"/>
  <c r="P30" i="21"/>
  <c r="K31" i="21"/>
  <c r="L31" i="21"/>
  <c r="M31" i="21"/>
  <c r="N31" i="21"/>
  <c r="O31" i="21"/>
  <c r="P31" i="21"/>
  <c r="K32" i="21"/>
  <c r="L32" i="21"/>
  <c r="M32" i="21"/>
  <c r="N32" i="21"/>
  <c r="O32" i="21"/>
  <c r="P32" i="21"/>
  <c r="K33" i="21"/>
  <c r="L33" i="21"/>
  <c r="M33" i="21"/>
  <c r="N33" i="21"/>
  <c r="O33" i="21"/>
  <c r="P33" i="21"/>
  <c r="K34" i="21"/>
  <c r="L34" i="21"/>
  <c r="M34" i="21"/>
  <c r="N34" i="21"/>
  <c r="O34" i="21"/>
  <c r="P34" i="21"/>
  <c r="K35" i="21"/>
  <c r="L35" i="21"/>
  <c r="M35" i="21"/>
  <c r="N35" i="21"/>
  <c r="O35" i="21"/>
  <c r="P35" i="21"/>
  <c r="K36" i="21"/>
  <c r="L36" i="21"/>
  <c r="M36" i="21"/>
  <c r="N36" i="21"/>
  <c r="O36" i="21"/>
  <c r="P36" i="21"/>
  <c r="K37" i="21"/>
  <c r="L37" i="21"/>
  <c r="M37" i="21"/>
  <c r="N37" i="21"/>
  <c r="O37" i="21"/>
  <c r="P37" i="21"/>
  <c r="K38" i="21"/>
  <c r="L38" i="21"/>
  <c r="M38" i="21"/>
  <c r="N38" i="21"/>
  <c r="O38" i="21"/>
  <c r="P38" i="21"/>
  <c r="K39" i="21"/>
  <c r="L39" i="21"/>
  <c r="M39" i="21"/>
  <c r="N39" i="21"/>
  <c r="O39" i="21"/>
  <c r="P39" i="21"/>
  <c r="K40" i="21"/>
  <c r="L40" i="21"/>
  <c r="M40" i="21"/>
  <c r="N40" i="21"/>
  <c r="O40" i="21"/>
  <c r="P40" i="21"/>
  <c r="K41" i="21"/>
  <c r="L41" i="21"/>
  <c r="M41" i="21"/>
  <c r="N41" i="21"/>
  <c r="O41" i="21"/>
  <c r="P41" i="21"/>
  <c r="K42" i="21"/>
  <c r="L42" i="21"/>
  <c r="M42" i="21"/>
  <c r="N42" i="21"/>
  <c r="O42" i="21"/>
  <c r="P42" i="21"/>
  <c r="K43" i="21"/>
  <c r="L43" i="21"/>
  <c r="M43" i="21"/>
  <c r="N43" i="21"/>
  <c r="O43" i="21"/>
  <c r="P43" i="21"/>
  <c r="K44" i="21"/>
  <c r="L44" i="21"/>
  <c r="M44" i="21"/>
  <c r="N44" i="21"/>
  <c r="O44" i="21"/>
  <c r="P44" i="21"/>
  <c r="K45" i="21"/>
  <c r="L45" i="21"/>
  <c r="M45" i="21"/>
  <c r="N45" i="21"/>
  <c r="O45" i="21"/>
  <c r="P45" i="21"/>
  <c r="K46" i="21"/>
  <c r="L46" i="21"/>
  <c r="M46" i="21"/>
  <c r="N46" i="21"/>
  <c r="O46" i="21"/>
  <c r="P46" i="21"/>
  <c r="K47" i="21"/>
  <c r="L47" i="21"/>
  <c r="M47" i="21"/>
  <c r="N47" i="21"/>
  <c r="O47" i="21"/>
  <c r="P47" i="21"/>
  <c r="K48" i="21"/>
  <c r="L48" i="21"/>
  <c r="M48" i="21"/>
  <c r="N48" i="21"/>
  <c r="O48" i="21"/>
  <c r="P48" i="21"/>
  <c r="K49" i="21"/>
  <c r="L49" i="21"/>
  <c r="M49" i="21"/>
  <c r="N49" i="21"/>
  <c r="O49" i="21"/>
  <c r="P49" i="21"/>
  <c r="K50" i="21"/>
  <c r="L50" i="21"/>
  <c r="M50" i="21"/>
  <c r="N50" i="21"/>
  <c r="O50" i="21"/>
  <c r="P50" i="21"/>
  <c r="K51" i="21"/>
  <c r="L51" i="21"/>
  <c r="M51" i="21"/>
  <c r="N51" i="21"/>
  <c r="O51" i="21"/>
  <c r="P51" i="21"/>
  <c r="P3" i="21"/>
  <c r="O3" i="21"/>
  <c r="N3" i="21"/>
  <c r="M3" i="21"/>
  <c r="L3" i="21"/>
  <c r="K3" i="21"/>
  <c r="J3" i="21"/>
  <c r="J37" i="21"/>
  <c r="J38" i="21"/>
  <c r="J39" i="21"/>
  <c r="J40" i="21"/>
  <c r="J41" i="21"/>
  <c r="J42" i="21"/>
  <c r="J43" i="21"/>
  <c r="J44" i="21"/>
  <c r="J45" i="21"/>
  <c r="J46" i="21"/>
  <c r="J47" i="21"/>
  <c r="J48" i="21"/>
  <c r="J49" i="21"/>
  <c r="J50" i="21"/>
  <c r="J51" i="21"/>
  <c r="J4" i="21"/>
  <c r="J5"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F152" i="8" l="1"/>
  <c r="D11" i="10" l="1"/>
  <c r="C11" i="10"/>
  <c r="A8" i="19" l="1"/>
  <c r="B54" i="9"/>
  <c r="C9" i="8" l="1"/>
  <c r="C106" i="9"/>
  <c r="G106" i="9" l="1"/>
  <c r="D78" i="8" s="1"/>
  <c r="F106" i="9"/>
  <c r="D75" i="8" s="1"/>
  <c r="E106" i="9"/>
  <c r="D77" i="8" s="1"/>
  <c r="B146" i="8" s="1"/>
  <c r="D106" i="9"/>
  <c r="D76" i="8" s="1"/>
  <c r="D79" i="8"/>
  <c r="B2" i="18"/>
  <c r="B2" i="17"/>
  <c r="B2" i="16"/>
  <c r="P11" i="18"/>
  <c r="P12" i="18" s="1"/>
  <c r="P13" i="18" s="1"/>
  <c r="P14" i="18" s="1"/>
  <c r="P15" i="18" s="1"/>
  <c r="P16" i="18" s="1"/>
  <c r="P17" i="18" s="1"/>
  <c r="P18" i="18" s="1"/>
  <c r="P19" i="18" s="1"/>
  <c r="P20" i="18" s="1"/>
  <c r="P21" i="18" s="1"/>
  <c r="P22" i="18" s="1"/>
  <c r="P23" i="18" s="1"/>
  <c r="P24" i="18" s="1"/>
  <c r="P25" i="18" s="1"/>
  <c r="P26" i="18" s="1"/>
  <c r="P27" i="18" s="1"/>
  <c r="P28" i="18" s="1"/>
  <c r="P29" i="18" s="1"/>
  <c r="P30" i="18" s="1"/>
  <c r="P31" i="18" s="1"/>
  <c r="P32" i="18" s="1"/>
  <c r="P33" i="18" s="1"/>
  <c r="P34" i="18" s="1"/>
  <c r="P35" i="18" s="1"/>
  <c r="P36" i="18" s="1"/>
  <c r="P37" i="18" s="1"/>
  <c r="P38" i="18" s="1"/>
  <c r="P39" i="18" s="1"/>
  <c r="P40" i="18" s="1"/>
  <c r="P41" i="18" s="1"/>
  <c r="P42" i="18" s="1"/>
  <c r="P43" i="18" s="1"/>
  <c r="P44" i="18" s="1"/>
  <c r="I10" i="18"/>
  <c r="H10" i="18"/>
  <c r="I4" i="18"/>
  <c r="H4" i="18"/>
  <c r="G4" i="18"/>
  <c r="I3" i="18"/>
  <c r="H3" i="18"/>
  <c r="G3" i="18"/>
  <c r="B3" i="18"/>
  <c r="J6" i="18" s="1"/>
  <c r="P11" i="17"/>
  <c r="P12" i="17" s="1"/>
  <c r="P13" i="17" s="1"/>
  <c r="P14" i="17" s="1"/>
  <c r="P15" i="17" s="1"/>
  <c r="P16" i="17" s="1"/>
  <c r="P17" i="17" s="1"/>
  <c r="P18" i="17" s="1"/>
  <c r="P19" i="17" s="1"/>
  <c r="P20" i="17" s="1"/>
  <c r="P21" i="17" s="1"/>
  <c r="P22" i="17" s="1"/>
  <c r="P23" i="17" s="1"/>
  <c r="P24" i="17" s="1"/>
  <c r="P25" i="17" s="1"/>
  <c r="P26" i="17" s="1"/>
  <c r="P27" i="17" s="1"/>
  <c r="P28" i="17" s="1"/>
  <c r="P29" i="17" s="1"/>
  <c r="P30" i="17" s="1"/>
  <c r="P31" i="17" s="1"/>
  <c r="P32" i="17" s="1"/>
  <c r="P33" i="17" s="1"/>
  <c r="P34" i="17" s="1"/>
  <c r="P35" i="17" s="1"/>
  <c r="P36" i="17" s="1"/>
  <c r="P37" i="17" s="1"/>
  <c r="P38" i="17" s="1"/>
  <c r="P39" i="17" s="1"/>
  <c r="P40" i="17" s="1"/>
  <c r="P41" i="17" s="1"/>
  <c r="P42" i="17" s="1"/>
  <c r="P43" i="17" s="1"/>
  <c r="P44" i="17" s="1"/>
  <c r="I10" i="17"/>
  <c r="H10" i="17"/>
  <c r="I4" i="17"/>
  <c r="H4" i="17"/>
  <c r="G4" i="17"/>
  <c r="I3" i="17"/>
  <c r="H3" i="17"/>
  <c r="G3" i="17"/>
  <c r="B3" i="17"/>
  <c r="J6" i="17" s="1"/>
  <c r="P11" i="16"/>
  <c r="P12" i="16" s="1"/>
  <c r="P13" i="16" s="1"/>
  <c r="P14" i="16" s="1"/>
  <c r="P15" i="16" s="1"/>
  <c r="P16" i="16" s="1"/>
  <c r="P17" i="16" s="1"/>
  <c r="P18" i="16" s="1"/>
  <c r="P19" i="16" s="1"/>
  <c r="P20" i="16" s="1"/>
  <c r="P21" i="16" s="1"/>
  <c r="P22" i="16" s="1"/>
  <c r="P23" i="16" s="1"/>
  <c r="P24" i="16" s="1"/>
  <c r="P25" i="16" s="1"/>
  <c r="P26" i="16" s="1"/>
  <c r="P27" i="16" s="1"/>
  <c r="P28" i="16" s="1"/>
  <c r="P29" i="16" s="1"/>
  <c r="P30" i="16" s="1"/>
  <c r="P31" i="16" s="1"/>
  <c r="P32" i="16" s="1"/>
  <c r="P33" i="16" s="1"/>
  <c r="P34" i="16" s="1"/>
  <c r="P35" i="16" s="1"/>
  <c r="P36" i="16" s="1"/>
  <c r="P37" i="16" s="1"/>
  <c r="P38" i="16" s="1"/>
  <c r="P39" i="16" s="1"/>
  <c r="P40" i="16" s="1"/>
  <c r="P41" i="16" s="1"/>
  <c r="P42" i="16" s="1"/>
  <c r="P43" i="16" s="1"/>
  <c r="P44" i="16" s="1"/>
  <c r="I10" i="16"/>
  <c r="H10" i="16"/>
  <c r="I4" i="16"/>
  <c r="H4" i="16"/>
  <c r="G4" i="16"/>
  <c r="I3" i="16"/>
  <c r="H3" i="16"/>
  <c r="G3" i="16"/>
  <c r="B3" i="16"/>
  <c r="J6" i="16" s="1"/>
  <c r="P45" i="16" l="1"/>
  <c r="P46" i="16" s="1"/>
  <c r="P47" i="16" s="1"/>
  <c r="P48" i="16" s="1"/>
  <c r="P49" i="16" s="1"/>
  <c r="P50" i="16" s="1"/>
  <c r="P51" i="16" s="1"/>
  <c r="P52" i="16" s="1"/>
  <c r="P53" i="16" s="1"/>
  <c r="P54" i="16" s="1"/>
  <c r="P55" i="16" s="1"/>
  <c r="P56" i="16" s="1"/>
  <c r="P57" i="16" s="1"/>
  <c r="P58" i="16" s="1"/>
  <c r="P59" i="16" s="1"/>
  <c r="P60" i="16" s="1"/>
  <c r="P61" i="16" s="1"/>
  <c r="P62" i="16" s="1"/>
  <c r="P63" i="16" s="1"/>
  <c r="P64" i="16" s="1"/>
  <c r="P65" i="16" s="1"/>
  <c r="P66" i="16" s="1"/>
  <c r="P67" i="16" s="1"/>
  <c r="P68" i="16" s="1"/>
  <c r="P69" i="16" s="1"/>
  <c r="P70" i="16" s="1"/>
  <c r="P45" i="17"/>
  <c r="P46" i="17" s="1"/>
  <c r="P47" i="17" s="1"/>
  <c r="P48" i="17" s="1"/>
  <c r="P49" i="17" s="1"/>
  <c r="P50" i="17" s="1"/>
  <c r="P51" i="17" s="1"/>
  <c r="P52" i="17" s="1"/>
  <c r="P53" i="17" s="1"/>
  <c r="P54" i="17" s="1"/>
  <c r="P55" i="17" s="1"/>
  <c r="P56" i="17" s="1"/>
  <c r="P57" i="17" s="1"/>
  <c r="P58" i="17" s="1"/>
  <c r="P59" i="17" s="1"/>
  <c r="P60" i="17" s="1"/>
  <c r="P61" i="17" s="1"/>
  <c r="P62" i="17" s="1"/>
  <c r="P63" i="17" s="1"/>
  <c r="P64" i="17" s="1"/>
  <c r="P65" i="17" s="1"/>
  <c r="P66" i="17" s="1"/>
  <c r="P67" i="17" s="1"/>
  <c r="P68" i="17" s="1"/>
  <c r="P69" i="17" s="1"/>
  <c r="P70" i="17" s="1"/>
  <c r="P45" i="18"/>
  <c r="P46" i="18" s="1"/>
  <c r="P47" i="18" s="1"/>
  <c r="P48" i="18" s="1"/>
  <c r="P49" i="18" s="1"/>
  <c r="P50" i="18" s="1"/>
  <c r="P51" i="18" s="1"/>
  <c r="P52" i="18" s="1"/>
  <c r="P53" i="18" s="1"/>
  <c r="P54" i="18" s="1"/>
  <c r="P55" i="18" s="1"/>
  <c r="P56" i="18" s="1"/>
  <c r="P57" i="18" s="1"/>
  <c r="P58" i="18" s="1"/>
  <c r="P59" i="18" s="1"/>
  <c r="P60" i="18" s="1"/>
  <c r="P61" i="18" s="1"/>
  <c r="P62" i="18" s="1"/>
  <c r="P63" i="18" s="1"/>
  <c r="P64" i="18" s="1"/>
  <c r="P65" i="18" s="1"/>
  <c r="P66" i="18" s="1"/>
  <c r="P67" i="18" s="1"/>
  <c r="P68" i="18" s="1"/>
  <c r="P69" i="18" s="1"/>
  <c r="P70" i="18" s="1"/>
  <c r="A10" i="8"/>
  <c r="P6" i="16" l="1"/>
  <c r="P6" i="18"/>
  <c r="P6" i="17"/>
  <c r="P11" i="15"/>
  <c r="P12" i="15" s="1"/>
  <c r="P13" i="15" s="1"/>
  <c r="P14" i="15" s="1"/>
  <c r="P15" i="15" s="1"/>
  <c r="P16" i="15" s="1"/>
  <c r="P17" i="15" s="1"/>
  <c r="P18" i="15" s="1"/>
  <c r="P19" i="15" s="1"/>
  <c r="P20" i="15" s="1"/>
  <c r="P21" i="15" s="1"/>
  <c r="P22" i="15" s="1"/>
  <c r="P23" i="15" s="1"/>
  <c r="P24" i="15" s="1"/>
  <c r="P25" i="15" s="1"/>
  <c r="P26" i="15" s="1"/>
  <c r="P27" i="15" s="1"/>
  <c r="P28" i="15" s="1"/>
  <c r="P29" i="15" s="1"/>
  <c r="P30" i="15" s="1"/>
  <c r="P31" i="15" s="1"/>
  <c r="P32" i="15" s="1"/>
  <c r="P33" i="15" s="1"/>
  <c r="P34" i="15" s="1"/>
  <c r="P35" i="15" s="1"/>
  <c r="P36" i="15" s="1"/>
  <c r="P37" i="15" s="1"/>
  <c r="P38" i="15" s="1"/>
  <c r="P39" i="15" s="1"/>
  <c r="P40" i="15" s="1"/>
  <c r="P41" i="15" s="1"/>
  <c r="P42" i="15" s="1"/>
  <c r="P43" i="15" s="1"/>
  <c r="P44" i="15" s="1"/>
  <c r="I10" i="15"/>
  <c r="H10" i="15"/>
  <c r="I4" i="15"/>
  <c r="H4" i="15"/>
  <c r="G4" i="15"/>
  <c r="I3" i="15"/>
  <c r="H3" i="15"/>
  <c r="G3" i="15"/>
  <c r="B3" i="15"/>
  <c r="J6" i="15" s="1"/>
  <c r="P11" i="14"/>
  <c r="P12" i="14" s="1"/>
  <c r="P13" i="14" s="1"/>
  <c r="P14" i="14" s="1"/>
  <c r="P15" i="14" s="1"/>
  <c r="P16" i="14" s="1"/>
  <c r="P17" i="14" s="1"/>
  <c r="P18" i="14" s="1"/>
  <c r="P19" i="14" s="1"/>
  <c r="P20" i="14" s="1"/>
  <c r="P21" i="14" s="1"/>
  <c r="P22" i="14" s="1"/>
  <c r="P23" i="14" s="1"/>
  <c r="P24" i="14" s="1"/>
  <c r="P25" i="14" s="1"/>
  <c r="P26" i="14" s="1"/>
  <c r="P27" i="14" s="1"/>
  <c r="P28" i="14" s="1"/>
  <c r="P29" i="14" s="1"/>
  <c r="P30" i="14" s="1"/>
  <c r="P31" i="14" s="1"/>
  <c r="P32" i="14" s="1"/>
  <c r="P33" i="14" s="1"/>
  <c r="P34" i="14" s="1"/>
  <c r="P35" i="14" s="1"/>
  <c r="P36" i="14" s="1"/>
  <c r="P37" i="14" s="1"/>
  <c r="P38" i="14" s="1"/>
  <c r="P39" i="14" s="1"/>
  <c r="P40" i="14" s="1"/>
  <c r="P41" i="14" s="1"/>
  <c r="P42" i="14" s="1"/>
  <c r="P43" i="14" s="1"/>
  <c r="P44" i="14" s="1"/>
  <c r="I10" i="14"/>
  <c r="H10" i="14"/>
  <c r="I4" i="14"/>
  <c r="H4" i="14"/>
  <c r="G4" i="14"/>
  <c r="I3" i="14"/>
  <c r="H3" i="14"/>
  <c r="G3" i="14"/>
  <c r="B3" i="14"/>
  <c r="J6" i="14" s="1"/>
  <c r="B14" i="9"/>
  <c r="G16" i="9" s="1"/>
  <c r="M2" i="11"/>
  <c r="M2" i="15" l="1"/>
  <c r="M2" i="18"/>
  <c r="M2" i="14"/>
  <c r="M2" i="16"/>
  <c r="M2" i="17"/>
  <c r="P45" i="14"/>
  <c r="P46" i="14" s="1"/>
  <c r="P47" i="14" s="1"/>
  <c r="P48" i="14" s="1"/>
  <c r="P49" i="14" s="1"/>
  <c r="P50" i="14" s="1"/>
  <c r="P51" i="14" s="1"/>
  <c r="P52" i="14" s="1"/>
  <c r="P53" i="14" s="1"/>
  <c r="P54" i="14" s="1"/>
  <c r="P55" i="14" s="1"/>
  <c r="P56" i="14" s="1"/>
  <c r="P57" i="14" s="1"/>
  <c r="P58" i="14" s="1"/>
  <c r="P59" i="14" s="1"/>
  <c r="P60" i="14" s="1"/>
  <c r="P61" i="14" s="1"/>
  <c r="P62" i="14" s="1"/>
  <c r="P63" i="14" s="1"/>
  <c r="P64" i="14" s="1"/>
  <c r="P65" i="14" s="1"/>
  <c r="P66" i="14" s="1"/>
  <c r="P67" i="14" s="1"/>
  <c r="P68" i="14" s="1"/>
  <c r="P69" i="14" s="1"/>
  <c r="P70" i="14" s="1"/>
  <c r="P45" i="15"/>
  <c r="P46" i="15" s="1"/>
  <c r="P47" i="15" s="1"/>
  <c r="P48" i="15" s="1"/>
  <c r="P49" i="15" s="1"/>
  <c r="P50" i="15" s="1"/>
  <c r="P51" i="15" s="1"/>
  <c r="P52" i="15" s="1"/>
  <c r="P53" i="15" s="1"/>
  <c r="P54" i="15" s="1"/>
  <c r="P55" i="15" s="1"/>
  <c r="P56" i="15" s="1"/>
  <c r="P57" i="15" s="1"/>
  <c r="P58" i="15" s="1"/>
  <c r="P59" i="15" s="1"/>
  <c r="P60" i="15" s="1"/>
  <c r="P61" i="15" s="1"/>
  <c r="P62" i="15" s="1"/>
  <c r="P63" i="15" s="1"/>
  <c r="P64" i="15" s="1"/>
  <c r="P65" i="15" s="1"/>
  <c r="P66" i="15" s="1"/>
  <c r="P67" i="15" s="1"/>
  <c r="P68" i="15" s="1"/>
  <c r="P69" i="15" s="1"/>
  <c r="P70" i="15" s="1"/>
  <c r="P11" i="11"/>
  <c r="P12" i="11" s="1"/>
  <c r="P13" i="11" s="1"/>
  <c r="P14" i="11" s="1"/>
  <c r="P15" i="11" s="1"/>
  <c r="P16" i="11" s="1"/>
  <c r="P17" i="11" s="1"/>
  <c r="P18" i="11" s="1"/>
  <c r="P19" i="11" s="1"/>
  <c r="P20" i="11" s="1"/>
  <c r="P21" i="11" s="1"/>
  <c r="P22" i="11" s="1"/>
  <c r="P23" i="11" s="1"/>
  <c r="P24" i="11" s="1"/>
  <c r="P25" i="11" s="1"/>
  <c r="P26" i="11" s="1"/>
  <c r="P27" i="11" s="1"/>
  <c r="P28" i="11" s="1"/>
  <c r="P29" i="11" s="1"/>
  <c r="P30" i="11" s="1"/>
  <c r="P31" i="11" s="1"/>
  <c r="P32" i="11" s="1"/>
  <c r="P33" i="11" s="1"/>
  <c r="P34" i="11" s="1"/>
  <c r="P35" i="11" s="1"/>
  <c r="P36" i="11" s="1"/>
  <c r="P37" i="11" s="1"/>
  <c r="P38" i="11" s="1"/>
  <c r="P39" i="11" s="1"/>
  <c r="P40" i="11" s="1"/>
  <c r="G27" i="8"/>
  <c r="I10" i="11"/>
  <c r="H10" i="11"/>
  <c r="H4" i="11"/>
  <c r="I4" i="11"/>
  <c r="I3" i="11"/>
  <c r="H3" i="11"/>
  <c r="G4" i="11"/>
  <c r="G3" i="11"/>
  <c r="B3" i="11"/>
  <c r="J6" i="11" s="1"/>
  <c r="C8" i="10"/>
  <c r="C6" i="10" s="1"/>
  <c r="C7" i="10" s="1"/>
  <c r="A4" i="10"/>
  <c r="P6" i="14" l="1"/>
  <c r="P6" i="15"/>
  <c r="E29" i="9"/>
  <c r="E143" i="8" s="1"/>
  <c r="B2" i="11"/>
  <c r="B2" i="14"/>
  <c r="B2" i="15"/>
  <c r="P41" i="1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E11" i="10"/>
  <c r="E6" i="10"/>
  <c r="C12" i="10" s="1"/>
  <c r="E3" i="9"/>
  <c r="P53" i="34" l="1"/>
  <c r="K53" i="34"/>
  <c r="M53" i="33"/>
  <c r="P53" i="32"/>
  <c r="K53" i="32"/>
  <c r="M53" i="31"/>
  <c r="P53" i="30"/>
  <c r="K53" i="30"/>
  <c r="M53" i="29"/>
  <c r="P53" i="28"/>
  <c r="K53" i="28"/>
  <c r="M53" i="27"/>
  <c r="P53" i="26"/>
  <c r="K53" i="26"/>
  <c r="M53" i="25"/>
  <c r="P53" i="24"/>
  <c r="K53" i="24"/>
  <c r="M53" i="23"/>
  <c r="P53" i="22"/>
  <c r="K53" i="22"/>
  <c r="N53" i="34"/>
  <c r="J53" i="34"/>
  <c r="L53" i="33"/>
  <c r="N53" i="32"/>
  <c r="J53" i="32"/>
  <c r="L53" i="31"/>
  <c r="N53" i="30"/>
  <c r="J53" i="30"/>
  <c r="L53" i="29"/>
  <c r="N53" i="28"/>
  <c r="J53" i="28"/>
  <c r="L53" i="27"/>
  <c r="N53" i="26"/>
  <c r="J53" i="26"/>
  <c r="L53" i="25"/>
  <c r="N53" i="24"/>
  <c r="J53" i="24"/>
  <c r="L53" i="23"/>
  <c r="N53" i="22"/>
  <c r="J53" i="22"/>
  <c r="M53" i="34"/>
  <c r="P53" i="33"/>
  <c r="K53" i="33"/>
  <c r="M53" i="32"/>
  <c r="P53" i="31"/>
  <c r="K53" i="31"/>
  <c r="M53" i="30"/>
  <c r="P53" i="29"/>
  <c r="K53" i="29"/>
  <c r="M53" i="28"/>
  <c r="P53" i="27"/>
  <c r="K53" i="27"/>
  <c r="M53" i="26"/>
  <c r="P53" i="25"/>
  <c r="K53" i="25"/>
  <c r="M53" i="24"/>
  <c r="P53" i="23"/>
  <c r="K53" i="23"/>
  <c r="M53" i="22"/>
  <c r="L53" i="34"/>
  <c r="N53" i="33"/>
  <c r="J53" i="33"/>
  <c r="L53" i="32"/>
  <c r="N53" i="31"/>
  <c r="J53" i="31"/>
  <c r="L53" i="30"/>
  <c r="N53" i="29"/>
  <c r="J53" i="29"/>
  <c r="L53" i="28"/>
  <c r="N53" i="27"/>
  <c r="J53" i="27"/>
  <c r="L53" i="26"/>
  <c r="N53" i="25"/>
  <c r="J53" i="25"/>
  <c r="L53" i="24"/>
  <c r="N53" i="23"/>
  <c r="J53" i="23"/>
  <c r="L53" i="22"/>
  <c r="O53" i="27"/>
  <c r="O53" i="28"/>
  <c r="O53" i="30"/>
  <c r="O53" i="34"/>
  <c r="O53" i="22"/>
  <c r="O53" i="26"/>
  <c r="O53" i="33"/>
  <c r="O53" i="29"/>
  <c r="O53" i="25"/>
  <c r="O53" i="31"/>
  <c r="O53" i="32"/>
  <c r="O53" i="23"/>
  <c r="O53" i="24"/>
  <c r="P53" i="21"/>
  <c r="O53" i="21"/>
  <c r="K53" i="21"/>
  <c r="N53" i="21"/>
  <c r="J53" i="21"/>
  <c r="M53" i="21"/>
  <c r="L53" i="21"/>
  <c r="P6" i="11"/>
  <c r="D12" i="10"/>
  <c r="D13" i="10" s="1"/>
  <c r="A12" i="10"/>
  <c r="C13" i="10"/>
  <c r="C14" i="10" s="1"/>
  <c r="C15" i="10" s="1"/>
  <c r="C16" i="10" s="1"/>
  <c r="C17" i="10" s="1"/>
  <c r="C18" i="10" s="1"/>
  <c r="C19" i="10" s="1"/>
  <c r="C20" i="10" s="1"/>
  <c r="C21" i="10" s="1"/>
  <c r="C22" i="10" s="1"/>
  <c r="C23" i="10" s="1"/>
  <c r="C24" i="10" s="1"/>
  <c r="C25" i="10" s="1"/>
  <c r="C26" i="10" s="1"/>
  <c r="C27" i="10" s="1"/>
  <c r="C28" i="10" s="1"/>
  <c r="C29" i="10" s="1"/>
  <c r="C30" i="10" s="1"/>
  <c r="C31" i="10" s="1"/>
  <c r="B1" i="18"/>
  <c r="M1" i="18" s="1"/>
  <c r="B1" i="17"/>
  <c r="M1" i="17" s="1"/>
  <c r="B1" i="16"/>
  <c r="J10" i="18"/>
  <c r="J10" i="16"/>
  <c r="J10" i="17"/>
  <c r="B1" i="11"/>
  <c r="B1" i="15"/>
  <c r="M1" i="15" s="1"/>
  <c r="A41" i="8" s="1"/>
  <c r="B1" i="14"/>
  <c r="M1" i="14" s="1"/>
  <c r="A40" i="8" s="1"/>
  <c r="J10" i="15"/>
  <c r="B11" i="15" s="1"/>
  <c r="C11" i="15" s="1"/>
  <c r="J10" i="14"/>
  <c r="B11" i="14" s="1"/>
  <c r="C11" i="14" s="1"/>
  <c r="J10" i="11"/>
  <c r="B11" i="11" s="1"/>
  <c r="C11" i="11" s="1"/>
  <c r="I53" i="23" l="1"/>
  <c r="D35" i="9" s="1"/>
  <c r="I53" i="29"/>
  <c r="F34" i="9" s="1"/>
  <c r="I53" i="34"/>
  <c r="F39" i="9" s="1"/>
  <c r="I53" i="31"/>
  <c r="F36" i="9" s="1"/>
  <c r="I53" i="26"/>
  <c r="D38" i="9" s="1"/>
  <c r="I53" i="24"/>
  <c r="D36" i="9" s="1"/>
  <c r="I53" i="25"/>
  <c r="D37" i="9" s="1"/>
  <c r="I53" i="22"/>
  <c r="D34" i="9" s="1"/>
  <c r="I53" i="27"/>
  <c r="D39" i="9" s="1"/>
  <c r="I53" i="32"/>
  <c r="F37" i="9" s="1"/>
  <c r="I53" i="33"/>
  <c r="F38" i="9" s="1"/>
  <c r="I53" i="30"/>
  <c r="F35" i="9" s="1"/>
  <c r="I53" i="28"/>
  <c r="F33" i="9" s="1"/>
  <c r="I53" i="21"/>
  <c r="D33" i="9" s="1"/>
  <c r="A4" i="19"/>
  <c r="C22" i="9"/>
  <c r="A39" i="8"/>
  <c r="A2" i="19"/>
  <c r="C20" i="9"/>
  <c r="A3" i="19"/>
  <c r="C21" i="9"/>
  <c r="B11" i="16"/>
  <c r="C11" i="16" s="1"/>
  <c r="B11" i="18"/>
  <c r="C11" i="18" s="1"/>
  <c r="M11" i="18" s="1"/>
  <c r="B11" i="17"/>
  <c r="C11" i="17" s="1"/>
  <c r="M11" i="17" s="1"/>
  <c r="E12" i="10"/>
  <c r="F12" i="10" s="1"/>
  <c r="A13" i="10"/>
  <c r="A14" i="10" s="1"/>
  <c r="I11" i="10"/>
  <c r="D14" i="10"/>
  <c r="D11" i="14"/>
  <c r="M11" i="14"/>
  <c r="E11" i="14"/>
  <c r="F11" i="14" s="1"/>
  <c r="S11" i="14" s="1"/>
  <c r="D11" i="11"/>
  <c r="E11" i="11"/>
  <c r="F11" i="11" s="1"/>
  <c r="M11" i="11"/>
  <c r="E13" i="10"/>
  <c r="M11" i="16" l="1"/>
  <c r="E144" i="8"/>
  <c r="C31" i="9"/>
  <c r="E25" i="9" s="1"/>
  <c r="E31" i="9"/>
  <c r="E27" i="9" s="1"/>
  <c r="E146" i="8"/>
  <c r="E11" i="18"/>
  <c r="F11" i="18" s="1"/>
  <c r="S11" i="18" s="1"/>
  <c r="D11" i="16"/>
  <c r="E11" i="16"/>
  <c r="F11" i="16" s="1"/>
  <c r="S11" i="16" s="1"/>
  <c r="E11" i="17"/>
  <c r="F11" i="17" s="1"/>
  <c r="S11" i="17" s="1"/>
  <c r="D11" i="18"/>
  <c r="D11" i="17"/>
  <c r="A15" i="10"/>
  <c r="I12" i="10"/>
  <c r="I13" i="10"/>
  <c r="F13" i="10"/>
  <c r="D15" i="10"/>
  <c r="M11" i="15"/>
  <c r="D11" i="15"/>
  <c r="E11" i="15"/>
  <c r="F11" i="15" s="1"/>
  <c r="S11" i="15" s="1"/>
  <c r="S11" i="11"/>
  <c r="E28" i="9" l="1"/>
  <c r="G48" i="9" s="1"/>
  <c r="G42" i="8" s="1"/>
  <c r="B9" i="19" s="1"/>
  <c r="E147" i="8"/>
  <c r="A149" i="8" s="1"/>
  <c r="A16" i="10"/>
  <c r="I14" i="10"/>
  <c r="D16" i="10"/>
  <c r="E14" i="10"/>
  <c r="F14" i="10" s="1"/>
  <c r="B45" i="9" l="1"/>
  <c r="B46" i="9" s="1"/>
  <c r="B47" i="9" s="1"/>
  <c r="B48" i="9" s="1"/>
  <c r="A17" i="10"/>
  <c r="I15" i="10"/>
  <c r="D17" i="10"/>
  <c r="E15" i="10"/>
  <c r="F15" i="10" s="1"/>
  <c r="D45" i="9" l="1"/>
  <c r="D46" i="9" s="1"/>
  <c r="D47" i="9" s="1"/>
  <c r="A18" i="10"/>
  <c r="I16" i="10"/>
  <c r="D18" i="10"/>
  <c r="E16" i="10"/>
  <c r="F16" i="10" s="1"/>
  <c r="F46" i="9"/>
  <c r="F47" i="9"/>
  <c r="G47" i="9" l="1"/>
  <c r="G41" i="8" s="1"/>
  <c r="B8" i="19" s="1"/>
  <c r="F45" i="9"/>
  <c r="G45" i="9" s="1"/>
  <c r="G39" i="8" s="1"/>
  <c r="B6" i="19" s="1"/>
  <c r="G46" i="9"/>
  <c r="G40" i="8" s="1"/>
  <c r="B7" i="19" s="1"/>
  <c r="C2" i="19" s="1"/>
  <c r="C3" i="19" s="1"/>
  <c r="C4" i="19" s="1"/>
  <c r="C5" i="19" s="1"/>
  <c r="C6" i="19" s="1"/>
  <c r="C7" i="19" s="1"/>
  <c r="C8" i="19" s="1"/>
  <c r="C9" i="19" s="1"/>
  <c r="A19" i="10"/>
  <c r="I18" i="10" s="1"/>
  <c r="I17" i="10"/>
  <c r="D19" i="10"/>
  <c r="E17" i="10"/>
  <c r="F17" i="10" s="1"/>
  <c r="E18" i="10"/>
  <c r="F18" i="10" s="1"/>
  <c r="D20" i="10" l="1"/>
  <c r="A20" i="10"/>
  <c r="I19" i="10" s="1"/>
  <c r="E19" i="10"/>
  <c r="F19" i="10" s="1"/>
  <c r="D21" i="10" l="1"/>
  <c r="A21" i="10"/>
  <c r="E20" i="10"/>
  <c r="F20" i="10" s="1"/>
  <c r="I20" i="10" l="1"/>
  <c r="D22" i="10"/>
  <c r="A22" i="10"/>
  <c r="I21" i="10" s="1"/>
  <c r="E21" i="10"/>
  <c r="F21" i="10" s="1"/>
  <c r="D23" i="10" l="1"/>
  <c r="A23" i="10"/>
  <c r="I22" i="10" s="1"/>
  <c r="E22" i="10"/>
  <c r="F22" i="10" s="1"/>
  <c r="D24" i="10" l="1"/>
  <c r="A24" i="10"/>
  <c r="E23" i="10"/>
  <c r="F23" i="10" s="1"/>
  <c r="I23" i="10" l="1"/>
  <c r="D25" i="10"/>
  <c r="A25" i="10"/>
  <c r="I24" i="10" s="1"/>
  <c r="E24" i="10"/>
  <c r="F24" i="10" s="1"/>
  <c r="D26" i="10" l="1"/>
  <c r="A26" i="10"/>
  <c r="E25" i="10"/>
  <c r="F25" i="10" s="1"/>
  <c r="I25" i="10" l="1"/>
  <c r="D27" i="10"/>
  <c r="A27" i="10"/>
  <c r="I26" i="10" s="1"/>
  <c r="E26" i="10"/>
  <c r="F26" i="10" s="1"/>
  <c r="D28" i="10" l="1"/>
  <c r="A28" i="10"/>
  <c r="E27" i="10"/>
  <c r="F27" i="10" s="1"/>
  <c r="I27" i="10" l="1"/>
  <c r="D29" i="10"/>
  <c r="A29" i="10"/>
  <c r="E28" i="10"/>
  <c r="F28" i="10" s="1"/>
  <c r="I28" i="10" l="1"/>
  <c r="D30" i="10"/>
  <c r="A30" i="10"/>
  <c r="I29" i="10" s="1"/>
  <c r="E29" i="10"/>
  <c r="F29" i="10" s="1"/>
  <c r="D31" i="10" l="1"/>
  <c r="A31" i="10"/>
  <c r="G62" i="15" s="1"/>
  <c r="E30" i="10"/>
  <c r="F30" i="10" s="1"/>
  <c r="G61" i="11" l="1"/>
  <c r="G62" i="11"/>
  <c r="O62" i="11" s="1"/>
  <c r="G65" i="16"/>
  <c r="G63" i="15"/>
  <c r="O63" i="15" s="1"/>
  <c r="G61" i="14"/>
  <c r="O61" i="14" s="1"/>
  <c r="G62" i="18"/>
  <c r="O62" i="18" s="1"/>
  <c r="G61" i="16"/>
  <c r="R61" i="16" s="1"/>
  <c r="G66" i="16"/>
  <c r="O66" i="16" s="1"/>
  <c r="G63" i="14"/>
  <c r="R63" i="14" s="1"/>
  <c r="G66" i="14"/>
  <c r="G61" i="15"/>
  <c r="O61" i="15" s="1"/>
  <c r="G63" i="18"/>
  <c r="O63" i="18" s="1"/>
  <c r="O62" i="15"/>
  <c r="R62" i="15"/>
  <c r="R63" i="18"/>
  <c r="R62" i="11"/>
  <c r="O61" i="11"/>
  <c r="R61" i="11"/>
  <c r="R61" i="15"/>
  <c r="I30" i="10"/>
  <c r="I31" i="10" s="1"/>
  <c r="B44" i="8" s="1"/>
  <c r="G63" i="16"/>
  <c r="G62" i="17"/>
  <c r="G62" i="14"/>
  <c r="G63" i="17"/>
  <c r="G61" i="18"/>
  <c r="G62" i="16"/>
  <c r="G63" i="11"/>
  <c r="G61" i="17"/>
  <c r="G69" i="16"/>
  <c r="G66" i="15"/>
  <c r="G69" i="17"/>
  <c r="G69" i="15"/>
  <c r="O65" i="16"/>
  <c r="R65" i="16"/>
  <c r="G67" i="17"/>
  <c r="G68" i="16"/>
  <c r="G67" i="15"/>
  <c r="G67" i="11"/>
  <c r="G68" i="15"/>
  <c r="O66" i="14"/>
  <c r="R66" i="14"/>
  <c r="G69" i="14"/>
  <c r="G65" i="15"/>
  <c r="G68" i="18"/>
  <c r="G67" i="14"/>
  <c r="G70" i="18"/>
  <c r="G65" i="18"/>
  <c r="G68" i="17"/>
  <c r="G70" i="11"/>
  <c r="G68" i="14"/>
  <c r="G70" i="17"/>
  <c r="G65" i="11"/>
  <c r="G66" i="17"/>
  <c r="G66" i="18"/>
  <c r="G70" i="16"/>
  <c r="G70" i="15"/>
  <c r="G67" i="18"/>
  <c r="G67" i="16"/>
  <c r="G66" i="11"/>
  <c r="G65" i="17"/>
  <c r="G69" i="11"/>
  <c r="G69" i="18"/>
  <c r="G68" i="11"/>
  <c r="G65" i="14"/>
  <c r="G70" i="14"/>
  <c r="G20" i="17"/>
  <c r="G13" i="15"/>
  <c r="G15" i="14"/>
  <c r="G11" i="14"/>
  <c r="G14" i="15"/>
  <c r="G12" i="18"/>
  <c r="G11" i="16"/>
  <c r="G16" i="14"/>
  <c r="G11" i="17"/>
  <c r="G11" i="15"/>
  <c r="G13" i="14"/>
  <c r="G12" i="17"/>
  <c r="G13" i="16"/>
  <c r="G11" i="18"/>
  <c r="G14" i="11"/>
  <c r="G13" i="11"/>
  <c r="G14" i="18"/>
  <c r="G16" i="18"/>
  <c r="G15" i="15"/>
  <c r="G12" i="14"/>
  <c r="G12" i="11"/>
  <c r="G16" i="17"/>
  <c r="G15" i="17"/>
  <c r="G12" i="16"/>
  <c r="G14" i="16"/>
  <c r="G15" i="18"/>
  <c r="G12" i="15"/>
  <c r="G14" i="14"/>
  <c r="G16" i="15"/>
  <c r="G16" i="11"/>
  <c r="G13" i="17"/>
  <c r="G16" i="16"/>
  <c r="G15" i="16"/>
  <c r="G13" i="18"/>
  <c r="G11" i="11"/>
  <c r="G14" i="17"/>
  <c r="G15" i="11"/>
  <c r="G22" i="14"/>
  <c r="G22" i="18"/>
  <c r="G20" i="16"/>
  <c r="G22" i="17"/>
  <c r="G23" i="15"/>
  <c r="G21" i="16"/>
  <c r="G25" i="18"/>
  <c r="G21" i="15"/>
  <c r="G20" i="14"/>
  <c r="G19" i="11"/>
  <c r="G19" i="17"/>
  <c r="G25" i="17"/>
  <c r="G22" i="11"/>
  <c r="G24" i="17"/>
  <c r="G23" i="11"/>
  <c r="G20" i="11"/>
  <c r="G21" i="18"/>
  <c r="G19" i="18"/>
  <c r="G20" i="15"/>
  <c r="G19" i="14"/>
  <c r="G20" i="18"/>
  <c r="G19" i="16"/>
  <c r="G19" i="15"/>
  <c r="G24" i="14"/>
  <c r="G23" i="16"/>
  <c r="G24" i="15"/>
  <c r="G23" i="14"/>
  <c r="G25" i="11"/>
  <c r="G21" i="17"/>
  <c r="G22" i="16"/>
  <c r="G24" i="18"/>
  <c r="G24" i="16"/>
  <c r="G23" i="17"/>
  <c r="G24" i="11"/>
  <c r="G22" i="15"/>
  <c r="G23" i="18"/>
  <c r="G21" i="14"/>
  <c r="G21" i="11"/>
  <c r="G25" i="15"/>
  <c r="G34" i="17"/>
  <c r="G48" i="16"/>
  <c r="G34" i="16"/>
  <c r="G30" i="16"/>
  <c r="G56" i="14"/>
  <c r="G59" i="18"/>
  <c r="G60" i="17"/>
  <c r="G32" i="16"/>
  <c r="G36" i="15"/>
  <c r="G49" i="16"/>
  <c r="G28" i="17"/>
  <c r="G40" i="11"/>
  <c r="G41" i="18"/>
  <c r="G45" i="14"/>
  <c r="G44" i="18"/>
  <c r="G57" i="11"/>
  <c r="G46" i="17"/>
  <c r="G36" i="18"/>
  <c r="G39" i="14"/>
  <c r="G34" i="18"/>
  <c r="G35" i="16"/>
  <c r="G54" i="15"/>
  <c r="G42" i="11"/>
  <c r="G45" i="11"/>
  <c r="G55" i="14"/>
  <c r="G31" i="16"/>
  <c r="G49" i="17"/>
  <c r="G49" i="18"/>
  <c r="G44" i="14"/>
  <c r="G47" i="14"/>
  <c r="G55" i="18"/>
  <c r="G30" i="17"/>
  <c r="G58" i="17"/>
  <c r="G45" i="16"/>
  <c r="G51" i="11"/>
  <c r="G57" i="17"/>
  <c r="G33" i="15"/>
  <c r="G55" i="15"/>
  <c r="G37" i="16"/>
  <c r="G28" i="16"/>
  <c r="G44" i="16"/>
  <c r="G30" i="11"/>
  <c r="G29" i="18"/>
  <c r="G43" i="11"/>
  <c r="G36" i="17"/>
  <c r="G43" i="15"/>
  <c r="G39" i="17"/>
  <c r="G48" i="11"/>
  <c r="G35" i="14"/>
  <c r="G41" i="16"/>
  <c r="G56" i="18"/>
  <c r="G55" i="17"/>
  <c r="G52" i="17"/>
  <c r="G50" i="17"/>
  <c r="G29" i="16"/>
  <c r="G55" i="16"/>
  <c r="G29" i="17"/>
  <c r="G37" i="17"/>
  <c r="G29" i="14"/>
  <c r="G42" i="15"/>
  <c r="G33" i="17"/>
  <c r="G51" i="14"/>
  <c r="G57" i="18"/>
  <c r="G48" i="14"/>
  <c r="G38" i="16"/>
  <c r="G41" i="17"/>
  <c r="G56" i="16"/>
  <c r="G32" i="11"/>
  <c r="G50" i="14"/>
  <c r="G27" i="11"/>
  <c r="G40" i="15"/>
  <c r="G51" i="18"/>
  <c r="G42" i="14"/>
  <c r="G46" i="15"/>
  <c r="G39" i="15"/>
  <c r="G59" i="16"/>
  <c r="G50" i="18"/>
  <c r="G28" i="14"/>
  <c r="G26" i="18"/>
  <c r="G47" i="18"/>
  <c r="G28" i="15"/>
  <c r="G33" i="18"/>
  <c r="G31" i="18"/>
  <c r="G26" i="15"/>
  <c r="G27" i="18"/>
  <c r="G39" i="18"/>
  <c r="G27" i="16"/>
  <c r="G51" i="16"/>
  <c r="G40" i="14"/>
  <c r="G42" i="16"/>
  <c r="G47" i="16"/>
  <c r="G43" i="18"/>
  <c r="G34" i="11"/>
  <c r="G43" i="14"/>
  <c r="G37" i="18"/>
  <c r="G29" i="11"/>
  <c r="G49" i="15"/>
  <c r="G35" i="17"/>
  <c r="G38" i="11"/>
  <c r="G46" i="14"/>
  <c r="G25" i="14"/>
  <c r="G49" i="14"/>
  <c r="G31" i="11"/>
  <c r="G32" i="17"/>
  <c r="G44" i="15"/>
  <c r="G47" i="15"/>
  <c r="G57" i="16"/>
  <c r="G36" i="14"/>
  <c r="G30" i="18"/>
  <c r="G40" i="18"/>
  <c r="G54" i="11"/>
  <c r="G60" i="18"/>
  <c r="G26" i="16"/>
  <c r="G38" i="14"/>
  <c r="G30" i="15"/>
  <c r="G39" i="11"/>
  <c r="G26" i="17"/>
  <c r="G38" i="17"/>
  <c r="G58" i="16"/>
  <c r="G41" i="14"/>
  <c r="G26" i="11"/>
  <c r="G56" i="11"/>
  <c r="G36" i="16"/>
  <c r="G52" i="15"/>
  <c r="G42" i="17"/>
  <c r="G48" i="15"/>
  <c r="G53" i="11"/>
  <c r="G47" i="11"/>
  <c r="G52" i="11"/>
  <c r="G49" i="11"/>
  <c r="G37" i="15"/>
  <c r="G32" i="15"/>
  <c r="G53" i="17"/>
  <c r="G54" i="14"/>
  <c r="G53" i="16"/>
  <c r="G54" i="17"/>
  <c r="G60" i="11"/>
  <c r="G40" i="17"/>
  <c r="G45" i="18"/>
  <c r="G46" i="18"/>
  <c r="G45" i="17"/>
  <c r="G60" i="15"/>
  <c r="G41" i="15"/>
  <c r="G43" i="17"/>
  <c r="G26" i="14"/>
  <c r="G52" i="14"/>
  <c r="G52" i="18"/>
  <c r="G59" i="15"/>
  <c r="G55" i="11"/>
  <c r="G50" i="15"/>
  <c r="G47" i="17"/>
  <c r="G32" i="18"/>
  <c r="G28" i="18"/>
  <c r="G58" i="11"/>
  <c r="G27" i="15"/>
  <c r="G34" i="14"/>
  <c r="G48" i="17"/>
  <c r="G50" i="11"/>
  <c r="G53" i="15"/>
  <c r="G33" i="14"/>
  <c r="G38" i="18"/>
  <c r="G58" i="18"/>
  <c r="G31" i="17"/>
  <c r="G60" i="16"/>
  <c r="G45" i="15"/>
  <c r="G58" i="15"/>
  <c r="G35" i="15"/>
  <c r="G40" i="16"/>
  <c r="G51" i="15"/>
  <c r="G33" i="11"/>
  <c r="G44" i="17"/>
  <c r="G52" i="16"/>
  <c r="G59" i="14"/>
  <c r="G37" i="14"/>
  <c r="G51" i="17"/>
  <c r="G27" i="17"/>
  <c r="G32" i="14"/>
  <c r="G60" i="14"/>
  <c r="G57" i="14"/>
  <c r="G41" i="11"/>
  <c r="G43" i="16"/>
  <c r="G50" i="16"/>
  <c r="G53" i="18"/>
  <c r="G53" i="14"/>
  <c r="G31" i="15"/>
  <c r="G28" i="11"/>
  <c r="G33" i="16"/>
  <c r="G31" i="14"/>
  <c r="G42" i="18"/>
  <c r="G56" i="17"/>
  <c r="G54" i="16"/>
  <c r="G56" i="15"/>
  <c r="G46" i="16"/>
  <c r="G30" i="14"/>
  <c r="G48" i="18"/>
  <c r="G46" i="11"/>
  <c r="G37" i="11"/>
  <c r="G59" i="11"/>
  <c r="G39" i="16"/>
  <c r="G27" i="14"/>
  <c r="G35" i="18"/>
  <c r="G35" i="11"/>
  <c r="G44" i="11"/>
  <c r="G57" i="15"/>
  <c r="G29" i="15"/>
  <c r="G59" i="17"/>
  <c r="G36" i="11"/>
  <c r="G58" i="14"/>
  <c r="G34" i="15"/>
  <c r="G38" i="15"/>
  <c r="G25" i="16"/>
  <c r="G54" i="18"/>
  <c r="O61" i="16" l="1"/>
  <c r="R63" i="15"/>
  <c r="R62" i="18"/>
  <c r="R66" i="16"/>
  <c r="R61" i="14"/>
  <c r="O63" i="14"/>
  <c r="R62" i="14"/>
  <c r="O62" i="14"/>
  <c r="R62" i="17"/>
  <c r="O62" i="17"/>
  <c r="O63" i="16"/>
  <c r="R63" i="16"/>
  <c r="O61" i="17"/>
  <c r="R61" i="17"/>
  <c r="O63" i="11"/>
  <c r="R63" i="11"/>
  <c r="R62" i="16"/>
  <c r="O62" i="16"/>
  <c r="R61" i="18"/>
  <c r="O61" i="18"/>
  <c r="O63" i="17"/>
  <c r="R63" i="17"/>
  <c r="O68" i="11"/>
  <c r="R68" i="11"/>
  <c r="R70" i="16"/>
  <c r="O70" i="16"/>
  <c r="R65" i="18"/>
  <c r="O65" i="18"/>
  <c r="O69" i="14"/>
  <c r="R69" i="14"/>
  <c r="O67" i="17"/>
  <c r="R67" i="17"/>
  <c r="O69" i="18"/>
  <c r="R69" i="18"/>
  <c r="O66" i="18"/>
  <c r="R66" i="18"/>
  <c r="O69" i="11"/>
  <c r="R69" i="11"/>
  <c r="R66" i="17"/>
  <c r="O66" i="17"/>
  <c r="O65" i="17"/>
  <c r="R65" i="17"/>
  <c r="R65" i="11"/>
  <c r="O65" i="11"/>
  <c r="O66" i="11"/>
  <c r="R66" i="11"/>
  <c r="R70" i="17"/>
  <c r="O70" i="17"/>
  <c r="O70" i="18"/>
  <c r="R70" i="18"/>
  <c r="O68" i="15"/>
  <c r="R68" i="15"/>
  <c r="O69" i="15"/>
  <c r="R69" i="15"/>
  <c r="O67" i="16"/>
  <c r="R67" i="16"/>
  <c r="O68" i="14"/>
  <c r="R68" i="14"/>
  <c r="O67" i="14"/>
  <c r="R67" i="14"/>
  <c r="O67" i="11"/>
  <c r="R67" i="11"/>
  <c r="R69" i="17"/>
  <c r="O69" i="17"/>
  <c r="R70" i="14"/>
  <c r="O70" i="14"/>
  <c r="O67" i="18"/>
  <c r="R67" i="18"/>
  <c r="O70" i="11"/>
  <c r="R70" i="11"/>
  <c r="O68" i="18"/>
  <c r="R68" i="18"/>
  <c r="O67" i="15"/>
  <c r="R67" i="15"/>
  <c r="O66" i="15"/>
  <c r="R66" i="15"/>
  <c r="O65" i="14"/>
  <c r="R65" i="14"/>
  <c r="R70" i="15"/>
  <c r="O70" i="15"/>
  <c r="O68" i="17"/>
  <c r="R68" i="17"/>
  <c r="O65" i="15"/>
  <c r="R65" i="15"/>
  <c r="R68" i="16"/>
  <c r="O68" i="16"/>
  <c r="R69" i="16"/>
  <c r="O69" i="16"/>
  <c r="A43" i="8"/>
  <c r="R54" i="18"/>
  <c r="O54" i="18"/>
  <c r="O57" i="15"/>
  <c r="R57" i="15"/>
  <c r="O56" i="15"/>
  <c r="R56" i="15"/>
  <c r="R53" i="14"/>
  <c r="O53" i="14"/>
  <c r="O27" i="17"/>
  <c r="R27" i="17"/>
  <c r="O59" i="15"/>
  <c r="R59" i="15"/>
  <c r="O43" i="17"/>
  <c r="R43" i="17"/>
  <c r="O54" i="17"/>
  <c r="R54" i="17"/>
  <c r="O39" i="11"/>
  <c r="R39" i="11"/>
  <c r="R36" i="14"/>
  <c r="O36" i="14"/>
  <c r="O43" i="18"/>
  <c r="R43" i="18"/>
  <c r="R59" i="16"/>
  <c r="O59" i="16"/>
  <c r="O43" i="11"/>
  <c r="R43" i="11"/>
  <c r="O36" i="11"/>
  <c r="R36" i="11"/>
  <c r="O39" i="16"/>
  <c r="R39" i="16"/>
  <c r="O33" i="16"/>
  <c r="R33" i="16"/>
  <c r="R57" i="14"/>
  <c r="O57" i="14"/>
  <c r="R44" i="17"/>
  <c r="O44" i="17"/>
  <c r="O27" i="15"/>
  <c r="R27" i="15"/>
  <c r="R45" i="18"/>
  <c r="O45" i="18"/>
  <c r="O36" i="16"/>
  <c r="R36" i="16"/>
  <c r="O57" i="16"/>
  <c r="R57" i="16"/>
  <c r="O27" i="16"/>
  <c r="R27" i="16"/>
  <c r="O39" i="15"/>
  <c r="R39" i="15"/>
  <c r="O56" i="16"/>
  <c r="R56" i="16"/>
  <c r="O29" i="14"/>
  <c r="R29" i="14"/>
  <c r="O56" i="18"/>
  <c r="R56" i="18"/>
  <c r="R29" i="18"/>
  <c r="O29" i="18"/>
  <c r="O51" i="11"/>
  <c r="R51" i="11"/>
  <c r="O49" i="17"/>
  <c r="R49" i="17"/>
  <c r="O44" i="18"/>
  <c r="R44" i="18"/>
  <c r="R60" i="17"/>
  <c r="O60" i="17"/>
  <c r="O59" i="17"/>
  <c r="R59" i="17"/>
  <c r="O59" i="11"/>
  <c r="R59" i="11"/>
  <c r="O56" i="17"/>
  <c r="R56" i="17"/>
  <c r="O60" i="14"/>
  <c r="R60" i="14"/>
  <c r="O33" i="11"/>
  <c r="R33" i="11"/>
  <c r="O60" i="15"/>
  <c r="R60" i="15"/>
  <c r="O54" i="14"/>
  <c r="R54" i="14"/>
  <c r="O49" i="11"/>
  <c r="R49" i="11"/>
  <c r="O48" i="15"/>
  <c r="R48" i="15"/>
  <c r="O56" i="11"/>
  <c r="R56" i="11"/>
  <c r="O47" i="15"/>
  <c r="R47" i="15"/>
  <c r="O49" i="14"/>
  <c r="R49" i="14"/>
  <c r="O43" i="14"/>
  <c r="R43" i="14"/>
  <c r="O39" i="18"/>
  <c r="R39" i="18"/>
  <c r="R33" i="18"/>
  <c r="O33" i="18"/>
  <c r="O27" i="11"/>
  <c r="R27" i="11"/>
  <c r="O41" i="17"/>
  <c r="R41" i="17"/>
  <c r="O51" i="14"/>
  <c r="R51" i="14"/>
  <c r="O41" i="16"/>
  <c r="R41" i="16"/>
  <c r="O43" i="15"/>
  <c r="R43" i="15"/>
  <c r="O45" i="16"/>
  <c r="R45" i="16"/>
  <c r="O47" i="14"/>
  <c r="R47" i="14"/>
  <c r="O54" i="15"/>
  <c r="R54" i="15"/>
  <c r="R36" i="18"/>
  <c r="O36" i="18"/>
  <c r="R45" i="14"/>
  <c r="O45" i="14"/>
  <c r="O49" i="16"/>
  <c r="R49" i="16"/>
  <c r="O59" i="18"/>
  <c r="R59" i="18"/>
  <c r="O48" i="16"/>
  <c r="R48" i="16"/>
  <c r="R27" i="14"/>
  <c r="O27" i="14"/>
  <c r="O41" i="11"/>
  <c r="R41" i="11"/>
  <c r="O60" i="16"/>
  <c r="R60" i="16"/>
  <c r="O33" i="14"/>
  <c r="R33" i="14"/>
  <c r="R47" i="11"/>
  <c r="O47" i="11"/>
  <c r="R41" i="14"/>
  <c r="O41" i="14"/>
  <c r="O60" i="18"/>
  <c r="R60" i="18"/>
  <c r="O29" i="11"/>
  <c r="R29" i="11"/>
  <c r="R51" i="16"/>
  <c r="O51" i="16"/>
  <c r="O47" i="18"/>
  <c r="R47" i="18"/>
  <c r="O51" i="18"/>
  <c r="R51" i="18"/>
  <c r="O48" i="14"/>
  <c r="R48" i="14"/>
  <c r="O48" i="11"/>
  <c r="R48" i="11"/>
  <c r="R57" i="17"/>
  <c r="O57" i="17"/>
  <c r="O49" i="18"/>
  <c r="R49" i="18"/>
  <c r="O45" i="11"/>
  <c r="R45" i="11"/>
  <c r="R57" i="11"/>
  <c r="O57" i="11"/>
  <c r="O44" i="11"/>
  <c r="R44" i="11"/>
  <c r="O48" i="18"/>
  <c r="R48" i="18"/>
  <c r="O54" i="16"/>
  <c r="R54" i="16"/>
  <c r="O53" i="18"/>
  <c r="R53" i="18"/>
  <c r="O51" i="17"/>
  <c r="R51" i="17"/>
  <c r="O53" i="15"/>
  <c r="R53" i="15"/>
  <c r="O47" i="17"/>
  <c r="R47" i="17"/>
  <c r="O41" i="15"/>
  <c r="R41" i="15"/>
  <c r="O53" i="16"/>
  <c r="R53" i="16"/>
  <c r="O53" i="11"/>
  <c r="R53" i="11"/>
  <c r="O54" i="11"/>
  <c r="R54" i="11"/>
  <c r="O47" i="16"/>
  <c r="R47" i="16"/>
  <c r="O57" i="18"/>
  <c r="R57" i="18"/>
  <c r="O29" i="16"/>
  <c r="R29" i="16"/>
  <c r="O39" i="17"/>
  <c r="R39" i="17"/>
  <c r="O39" i="14"/>
  <c r="R39" i="14"/>
  <c r="R29" i="15"/>
  <c r="O29" i="15"/>
  <c r="R43" i="16"/>
  <c r="O43" i="16"/>
  <c r="O59" i="14"/>
  <c r="R59" i="14"/>
  <c r="O51" i="15"/>
  <c r="R51" i="15"/>
  <c r="O45" i="15"/>
  <c r="R45" i="15"/>
  <c r="O48" i="17"/>
  <c r="R48" i="17"/>
  <c r="O45" i="17"/>
  <c r="R45" i="17"/>
  <c r="O60" i="11"/>
  <c r="R60" i="11"/>
  <c r="O53" i="17"/>
  <c r="R53" i="17"/>
  <c r="O44" i="15"/>
  <c r="R44" i="15"/>
  <c r="O49" i="15"/>
  <c r="R49" i="15"/>
  <c r="R27" i="18"/>
  <c r="O27" i="18"/>
  <c r="O33" i="17"/>
  <c r="R33" i="17"/>
  <c r="O29" i="17"/>
  <c r="R29" i="17"/>
  <c r="O36" i="17"/>
  <c r="R36" i="17"/>
  <c r="O44" i="16"/>
  <c r="R44" i="16"/>
  <c r="O33" i="15"/>
  <c r="R33" i="15"/>
  <c r="O44" i="14"/>
  <c r="R44" i="14"/>
  <c r="O41" i="18"/>
  <c r="R41" i="18"/>
  <c r="O36" i="15"/>
  <c r="R36" i="15"/>
  <c r="O56" i="14"/>
  <c r="R56" i="14"/>
  <c r="H11" i="14"/>
  <c r="I11" i="14"/>
  <c r="I12" i="14" s="1"/>
  <c r="I13" i="14" s="1"/>
  <c r="I14" i="14" s="1"/>
  <c r="I15" i="14" s="1"/>
  <c r="I16" i="14" s="1"/>
  <c r="J11" i="14"/>
  <c r="J12" i="14" s="1"/>
  <c r="J13" i="14" s="1"/>
  <c r="J14" i="14" s="1"/>
  <c r="J11" i="11"/>
  <c r="J12" i="11" s="1"/>
  <c r="J13" i="11" s="1"/>
  <c r="J14" i="11" s="1"/>
  <c r="I11" i="11"/>
  <c r="I12" i="11" s="1"/>
  <c r="I13" i="11" s="1"/>
  <c r="I14" i="11" s="1"/>
  <c r="I15" i="11" s="1"/>
  <c r="I16" i="11" s="1"/>
  <c r="H11" i="11"/>
  <c r="J11" i="16"/>
  <c r="H11" i="16"/>
  <c r="I11" i="16"/>
  <c r="I12" i="16" s="1"/>
  <c r="I13" i="16" s="1"/>
  <c r="I14" i="16" s="1"/>
  <c r="I15" i="16" s="1"/>
  <c r="I16" i="16" s="1"/>
  <c r="J11" i="18"/>
  <c r="H11" i="18"/>
  <c r="I11" i="18"/>
  <c r="I12" i="18" s="1"/>
  <c r="I13" i="18" s="1"/>
  <c r="I14" i="18" s="1"/>
  <c r="I15" i="18" s="1"/>
  <c r="I16" i="18" s="1"/>
  <c r="H11" i="15"/>
  <c r="I11" i="15"/>
  <c r="I12" i="15" s="1"/>
  <c r="I13" i="15" s="1"/>
  <c r="I14" i="15" s="1"/>
  <c r="I15" i="15" s="1"/>
  <c r="I16" i="15" s="1"/>
  <c r="J11" i="15"/>
  <c r="J12" i="15" s="1"/>
  <c r="J13" i="15" s="1"/>
  <c r="J14" i="15" s="1"/>
  <c r="I11" i="17"/>
  <c r="I12" i="17" s="1"/>
  <c r="I13" i="17" s="1"/>
  <c r="I14" i="17" s="1"/>
  <c r="I15" i="17" s="1"/>
  <c r="I16" i="17" s="1"/>
  <c r="J11" i="17"/>
  <c r="J12" i="17" s="1"/>
  <c r="J13" i="17" s="1"/>
  <c r="J14" i="17" s="1"/>
  <c r="H11" i="17"/>
  <c r="E31" i="10"/>
  <c r="F31" i="10" l="1"/>
  <c r="G64" i="16"/>
  <c r="G64" i="14"/>
  <c r="G64" i="17"/>
  <c r="G64" i="18"/>
  <c r="G64" i="11"/>
  <c r="G64" i="15"/>
  <c r="R11" i="18"/>
  <c r="R11" i="17"/>
  <c r="R11" i="11"/>
  <c r="R11" i="16"/>
  <c r="R11" i="15"/>
  <c r="R11" i="14"/>
  <c r="N11" i="17"/>
  <c r="O11" i="17" s="1"/>
  <c r="N11" i="11"/>
  <c r="O11" i="11" s="1"/>
  <c r="J12" i="16"/>
  <c r="J13" i="16" s="1"/>
  <c r="J14" i="16" s="1"/>
  <c r="J15" i="16" s="1"/>
  <c r="J16" i="16" s="1"/>
  <c r="J12" i="18"/>
  <c r="J13" i="18" s="1"/>
  <c r="J14" i="18" s="1"/>
  <c r="J15" i="18" s="1"/>
  <c r="J16" i="18" s="1"/>
  <c r="B12" i="16"/>
  <c r="N11" i="16"/>
  <c r="O11" i="16" s="1"/>
  <c r="N11" i="18"/>
  <c r="O11" i="18" s="1"/>
  <c r="N11" i="15"/>
  <c r="O11" i="15" s="1"/>
  <c r="N11" i="14"/>
  <c r="O11" i="14" s="1"/>
  <c r="B12" i="18"/>
  <c r="K11" i="17"/>
  <c r="B12" i="17"/>
  <c r="B12" i="11"/>
  <c r="C12" i="11" s="1"/>
  <c r="K11" i="11"/>
  <c r="L11" i="11" s="1"/>
  <c r="B12" i="15"/>
  <c r="C12" i="15" s="1"/>
  <c r="B12" i="14"/>
  <c r="C12" i="14" s="1"/>
  <c r="K11" i="18"/>
  <c r="K11" i="16"/>
  <c r="K11" i="15"/>
  <c r="L11" i="15" s="1"/>
  <c r="K11" i="14"/>
  <c r="L11" i="14" s="1"/>
  <c r="H12" i="17"/>
  <c r="J15" i="15"/>
  <c r="J16" i="15" s="1"/>
  <c r="J15" i="17"/>
  <c r="J16" i="17" s="1"/>
  <c r="J15" i="11"/>
  <c r="J16" i="11" s="1"/>
  <c r="J15" i="14"/>
  <c r="J16" i="14" s="1"/>
  <c r="H12" i="11"/>
  <c r="H12" i="15"/>
  <c r="H12" i="18"/>
  <c r="H12" i="14"/>
  <c r="H12" i="16"/>
  <c r="G17" i="14"/>
  <c r="G17" i="11"/>
  <c r="G17" i="15"/>
  <c r="G17" i="17"/>
  <c r="G17" i="18"/>
  <c r="G17" i="16"/>
  <c r="G18" i="16"/>
  <c r="G18" i="17"/>
  <c r="G18" i="14"/>
  <c r="G18" i="11"/>
  <c r="G18" i="15"/>
  <c r="G18" i="18"/>
  <c r="L11" i="16" l="1"/>
  <c r="B3" i="36"/>
  <c r="L11" i="18"/>
  <c r="F3" i="36"/>
  <c r="L11" i="17"/>
  <c r="D3" i="36"/>
  <c r="N12" i="17"/>
  <c r="B13" i="16"/>
  <c r="N12" i="16"/>
  <c r="B13" i="11"/>
  <c r="C13" i="11" s="1"/>
  <c r="N12" i="11"/>
  <c r="B13" i="14"/>
  <c r="C13" i="14" s="1"/>
  <c r="N12" i="14"/>
  <c r="B13" i="18"/>
  <c r="N12" i="18"/>
  <c r="B13" i="15"/>
  <c r="C13" i="15" s="1"/>
  <c r="N12" i="15"/>
  <c r="B13" i="17"/>
  <c r="Q11" i="15"/>
  <c r="T11" i="15" s="1"/>
  <c r="D12" i="15" s="1"/>
  <c r="K12" i="15" s="1"/>
  <c r="L12" i="15" s="1"/>
  <c r="Q11" i="11"/>
  <c r="T11" i="11" s="1"/>
  <c r="D12" i="11" s="1"/>
  <c r="K12" i="11" s="1"/>
  <c r="L12" i="11" s="1"/>
  <c r="Q11" i="16"/>
  <c r="Q11" i="14"/>
  <c r="T11" i="14" s="1"/>
  <c r="D12" i="14" s="1"/>
  <c r="H13" i="17"/>
  <c r="Q11" i="18"/>
  <c r="Q11" i="17"/>
  <c r="J17" i="11"/>
  <c r="J18" i="11" s="1"/>
  <c r="J17" i="14"/>
  <c r="J18" i="14" s="1"/>
  <c r="H13" i="14"/>
  <c r="H13" i="16"/>
  <c r="H13" i="18"/>
  <c r="H13" i="15"/>
  <c r="H13" i="11"/>
  <c r="I17" i="17"/>
  <c r="I18" i="17" s="1"/>
  <c r="I19" i="17" s="1"/>
  <c r="I20" i="17" s="1"/>
  <c r="I21" i="17" s="1"/>
  <c r="I22" i="17" s="1"/>
  <c r="I23" i="17" s="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I61" i="17" s="1"/>
  <c r="I62" i="17" s="1"/>
  <c r="I63" i="17" s="1"/>
  <c r="I64" i="17" s="1"/>
  <c r="I65" i="17" s="1"/>
  <c r="I66" i="17" s="1"/>
  <c r="I67" i="17" s="1"/>
  <c r="I68" i="17" s="1"/>
  <c r="I69" i="17" s="1"/>
  <c r="I70" i="17" s="1"/>
  <c r="J17" i="17"/>
  <c r="J18" i="17" s="1"/>
  <c r="J19" i="17" s="1"/>
  <c r="J20" i="17" s="1"/>
  <c r="I17" i="15"/>
  <c r="I18" i="15" s="1"/>
  <c r="I19" i="15" s="1"/>
  <c r="I20" i="15" s="1"/>
  <c r="I21" i="15" s="1"/>
  <c r="I22" i="15" s="1"/>
  <c r="I23" i="15" s="1"/>
  <c r="I24" i="15" s="1"/>
  <c r="I25" i="15" s="1"/>
  <c r="I26" i="15" s="1"/>
  <c r="I27" i="15" s="1"/>
  <c r="I28" i="15" s="1"/>
  <c r="I29" i="15" s="1"/>
  <c r="I30" i="15" s="1"/>
  <c r="I31" i="15" s="1"/>
  <c r="I32" i="15" s="1"/>
  <c r="I33" i="15" s="1"/>
  <c r="I34" i="15" s="1"/>
  <c r="I35" i="15" s="1"/>
  <c r="I36" i="15" s="1"/>
  <c r="I37" i="15" s="1"/>
  <c r="I38" i="15" s="1"/>
  <c r="I39" i="15" s="1"/>
  <c r="I40" i="15" s="1"/>
  <c r="I41" i="15" s="1"/>
  <c r="I42" i="15" s="1"/>
  <c r="I43" i="15" s="1"/>
  <c r="I44" i="15" s="1"/>
  <c r="I45" i="15" s="1"/>
  <c r="I46" i="15" s="1"/>
  <c r="I47" i="15" s="1"/>
  <c r="I48" i="15" s="1"/>
  <c r="I49" i="15" s="1"/>
  <c r="I50" i="15" s="1"/>
  <c r="I51" i="15" s="1"/>
  <c r="I52" i="15" s="1"/>
  <c r="I53" i="15" s="1"/>
  <c r="I54" i="15" s="1"/>
  <c r="I55" i="15" s="1"/>
  <c r="I56" i="15" s="1"/>
  <c r="I57" i="15" s="1"/>
  <c r="I58" i="15" s="1"/>
  <c r="I59" i="15" s="1"/>
  <c r="I60" i="15" s="1"/>
  <c r="I61" i="15" s="1"/>
  <c r="J17" i="15"/>
  <c r="J18" i="15" s="1"/>
  <c r="J17" i="16"/>
  <c r="J18" i="16" s="1"/>
  <c r="J19" i="16" s="1"/>
  <c r="J20" i="16" s="1"/>
  <c r="J21" i="16" s="1"/>
  <c r="I17" i="16"/>
  <c r="I18" i="16" s="1"/>
  <c r="I19" i="16" s="1"/>
  <c r="I20" i="16" s="1"/>
  <c r="I21" i="16" s="1"/>
  <c r="I22" i="16" s="1"/>
  <c r="I23" i="16" s="1"/>
  <c r="I24" i="16" s="1"/>
  <c r="I25" i="16" s="1"/>
  <c r="I26" i="16" s="1"/>
  <c r="I27" i="16" s="1"/>
  <c r="I28" i="16" s="1"/>
  <c r="I29" i="16" s="1"/>
  <c r="I30" i="16" s="1"/>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17" i="11"/>
  <c r="I18" i="11" s="1"/>
  <c r="I19" i="11" s="1"/>
  <c r="I20" i="11" s="1"/>
  <c r="I21" i="11" s="1"/>
  <c r="I22" i="11" s="1"/>
  <c r="I23" i="11" s="1"/>
  <c r="I24" i="11" s="1"/>
  <c r="I25" i="11" s="1"/>
  <c r="I26" i="11" s="1"/>
  <c r="I27" i="11" s="1"/>
  <c r="I28" i="11" s="1"/>
  <c r="I29" i="11" s="1"/>
  <c r="I30" i="11" s="1"/>
  <c r="I31" i="11" s="1"/>
  <c r="I32" i="11" s="1"/>
  <c r="I33" i="11" s="1"/>
  <c r="I34" i="11" s="1"/>
  <c r="I35" i="11" s="1"/>
  <c r="I36" i="11" s="1"/>
  <c r="I37" i="11" s="1"/>
  <c r="I38" i="11" s="1"/>
  <c r="I39" i="11" s="1"/>
  <c r="I40" i="11" s="1"/>
  <c r="I41" i="11" s="1"/>
  <c r="I42" i="11" s="1"/>
  <c r="I43" i="11" s="1"/>
  <c r="I44" i="11" s="1"/>
  <c r="I45" i="11" s="1"/>
  <c r="I46" i="11" s="1"/>
  <c r="I47" i="11" s="1"/>
  <c r="I48" i="11" s="1"/>
  <c r="I49" i="11" s="1"/>
  <c r="I50" i="11" s="1"/>
  <c r="I51" i="11" s="1"/>
  <c r="I52" i="11" s="1"/>
  <c r="I53" i="11" s="1"/>
  <c r="I54" i="11" s="1"/>
  <c r="I55" i="11" s="1"/>
  <c r="I56" i="11" s="1"/>
  <c r="I57" i="11" s="1"/>
  <c r="I58" i="11" s="1"/>
  <c r="I59" i="11" s="1"/>
  <c r="I60" i="11" s="1"/>
  <c r="I61" i="11" s="1"/>
  <c r="I62" i="11" s="1"/>
  <c r="I63" i="11" s="1"/>
  <c r="I64" i="11" s="1"/>
  <c r="I65" i="11" s="1"/>
  <c r="I66" i="11" s="1"/>
  <c r="I67" i="11" s="1"/>
  <c r="I68" i="11" s="1"/>
  <c r="I69" i="11" s="1"/>
  <c r="I70" i="11" s="1"/>
  <c r="J17" i="18"/>
  <c r="J18" i="18" s="1"/>
  <c r="J19" i="18" s="1"/>
  <c r="I17" i="18"/>
  <c r="I18" i="18" s="1"/>
  <c r="I19" i="18" s="1"/>
  <c r="I20" i="18" s="1"/>
  <c r="I21" i="18" s="1"/>
  <c r="I22" i="18" s="1"/>
  <c r="I23" i="18" s="1"/>
  <c r="I24" i="18" s="1"/>
  <c r="I25" i="18" s="1"/>
  <c r="I26" i="18" s="1"/>
  <c r="I27" i="18" s="1"/>
  <c r="I28" i="18" s="1"/>
  <c r="I29" i="18" s="1"/>
  <c r="I30" i="18" s="1"/>
  <c r="I31" i="18" s="1"/>
  <c r="I32" i="18" s="1"/>
  <c r="I33" i="18" s="1"/>
  <c r="I34" i="18" s="1"/>
  <c r="I35" i="18" s="1"/>
  <c r="I36" i="18" s="1"/>
  <c r="I37" i="18" s="1"/>
  <c r="I38" i="18" s="1"/>
  <c r="I39" i="18" s="1"/>
  <c r="I40" i="18" s="1"/>
  <c r="I41" i="18" s="1"/>
  <c r="I42" i="18" s="1"/>
  <c r="I43" i="18" s="1"/>
  <c r="I44" i="18" s="1"/>
  <c r="I45" i="18" s="1"/>
  <c r="I46" i="18" s="1"/>
  <c r="I47" i="18" s="1"/>
  <c r="I48" i="18" s="1"/>
  <c r="I49" i="18" s="1"/>
  <c r="I50" i="18" s="1"/>
  <c r="I51" i="18" s="1"/>
  <c r="I52" i="18" s="1"/>
  <c r="I53" i="18" s="1"/>
  <c r="I54" i="18" s="1"/>
  <c r="I55" i="18" s="1"/>
  <c r="I56" i="18" s="1"/>
  <c r="I57" i="18" s="1"/>
  <c r="I58" i="18" s="1"/>
  <c r="I59" i="18" s="1"/>
  <c r="I60" i="18" s="1"/>
  <c r="I61" i="18" s="1"/>
  <c r="I62" i="18" s="1"/>
  <c r="I63" i="18" s="1"/>
  <c r="I64" i="18" s="1"/>
  <c r="I65" i="18" s="1"/>
  <c r="I66" i="18" s="1"/>
  <c r="I67" i="18" s="1"/>
  <c r="I68" i="18" s="1"/>
  <c r="I69" i="18" s="1"/>
  <c r="I70" i="18" s="1"/>
  <c r="I17" i="14"/>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46" i="14" s="1"/>
  <c r="I47" i="14" s="1"/>
  <c r="I48" i="14" s="1"/>
  <c r="I49" i="14" s="1"/>
  <c r="I50" i="14" s="1"/>
  <c r="I51" i="14" s="1"/>
  <c r="I52" i="14" s="1"/>
  <c r="I53" i="14" s="1"/>
  <c r="I54" i="14" s="1"/>
  <c r="I55" i="14" s="1"/>
  <c r="I56" i="14" s="1"/>
  <c r="I57" i="14" s="1"/>
  <c r="I58" i="14" s="1"/>
  <c r="I59" i="14" s="1"/>
  <c r="I60" i="14" s="1"/>
  <c r="I61" i="14" s="1"/>
  <c r="I62" i="14" s="1"/>
  <c r="I62" i="15" l="1"/>
  <c r="I63" i="15" s="1"/>
  <c r="I64" i="15" s="1"/>
  <c r="I65" i="15" s="1"/>
  <c r="I66" i="15" s="1"/>
  <c r="I67" i="15" s="1"/>
  <c r="I68" i="15" s="1"/>
  <c r="I69" i="15" s="1"/>
  <c r="I70" i="15" s="1"/>
  <c r="I63" i="14"/>
  <c r="I64" i="14" s="1"/>
  <c r="T11" i="18"/>
  <c r="D12" i="18" s="1"/>
  <c r="E12" i="18" s="1"/>
  <c r="F12" i="18" s="1"/>
  <c r="G3" i="36"/>
  <c r="T11" i="16"/>
  <c r="D12" i="16" s="1"/>
  <c r="E12" i="16" s="1"/>
  <c r="F12" i="16" s="1"/>
  <c r="C3" i="36"/>
  <c r="T11" i="17"/>
  <c r="M12" i="17" s="1"/>
  <c r="E3" i="36"/>
  <c r="M12" i="16"/>
  <c r="M12" i="14"/>
  <c r="M12" i="15"/>
  <c r="N13" i="17"/>
  <c r="M12" i="18"/>
  <c r="M12" i="11"/>
  <c r="K12" i="14"/>
  <c r="B14" i="18"/>
  <c r="N13" i="18"/>
  <c r="B14" i="16"/>
  <c r="N13" i="16"/>
  <c r="B14" i="11"/>
  <c r="C14" i="11" s="1"/>
  <c r="N13" i="11"/>
  <c r="B14" i="14"/>
  <c r="C14" i="14" s="1"/>
  <c r="N13" i="14"/>
  <c r="B14" i="15"/>
  <c r="C14" i="15" s="1"/>
  <c r="N13" i="15"/>
  <c r="H14" i="17"/>
  <c r="B14" i="17"/>
  <c r="E12" i="15"/>
  <c r="F12" i="15" s="1"/>
  <c r="E12" i="11"/>
  <c r="F12" i="11" s="1"/>
  <c r="E12" i="14"/>
  <c r="F12" i="14" s="1"/>
  <c r="H14" i="18"/>
  <c r="H14" i="11"/>
  <c r="H14" i="16"/>
  <c r="H14" i="14"/>
  <c r="H14" i="15"/>
  <c r="J20" i="18"/>
  <c r="J21" i="18" s="1"/>
  <c r="J22" i="18" s="1"/>
  <c r="J21" i="17"/>
  <c r="J22" i="17" s="1"/>
  <c r="J22" i="16"/>
  <c r="J19" i="11"/>
  <c r="J19" i="14"/>
  <c r="J19" i="15"/>
  <c r="I65" i="14" l="1"/>
  <c r="I66" i="14" s="1"/>
  <c r="I67" i="14" s="1"/>
  <c r="I68" i="14" s="1"/>
  <c r="I69" i="14" s="1"/>
  <c r="I70" i="14" s="1"/>
  <c r="K12" i="16"/>
  <c r="L12" i="16" s="1"/>
  <c r="D12" i="17"/>
  <c r="K12" i="17" s="1"/>
  <c r="K12" i="18"/>
  <c r="B4" i="36"/>
  <c r="O12" i="14"/>
  <c r="Q12" i="14" s="1"/>
  <c r="R12" i="14" s="1"/>
  <c r="S12" i="15"/>
  <c r="O12" i="15"/>
  <c r="Q12" i="15" s="1"/>
  <c r="S12" i="11"/>
  <c r="O12" i="11"/>
  <c r="Q12" i="11" s="1"/>
  <c r="R12" i="11" s="1"/>
  <c r="S12" i="16"/>
  <c r="O12" i="16"/>
  <c r="O12" i="18"/>
  <c r="L12" i="14"/>
  <c r="B15" i="16"/>
  <c r="N14" i="16"/>
  <c r="B15" i="18"/>
  <c r="N14" i="18"/>
  <c r="B15" i="15"/>
  <c r="C15" i="15" s="1"/>
  <c r="N14" i="15"/>
  <c r="B15" i="11"/>
  <c r="C15" i="11" s="1"/>
  <c r="N14" i="11"/>
  <c r="B15" i="14"/>
  <c r="C15" i="14" s="1"/>
  <c r="N14" i="14"/>
  <c r="B15" i="17"/>
  <c r="N14" i="17"/>
  <c r="H15" i="17"/>
  <c r="S12" i="18"/>
  <c r="S12" i="14"/>
  <c r="H15" i="11"/>
  <c r="H15" i="18"/>
  <c r="H15" i="15"/>
  <c r="H15" i="16"/>
  <c r="H15" i="14"/>
  <c r="J23" i="18"/>
  <c r="J23" i="17"/>
  <c r="J23" i="16"/>
  <c r="J20" i="14"/>
  <c r="J20" i="15"/>
  <c r="J20" i="11"/>
  <c r="Q12" i="16" l="1"/>
  <c r="C4" i="36" s="1"/>
  <c r="E12" i="17"/>
  <c r="F12" i="17" s="1"/>
  <c r="S12" i="17" s="1"/>
  <c r="Q12" i="18"/>
  <c r="G4" i="36" s="1"/>
  <c r="R12" i="18"/>
  <c r="L12" i="17"/>
  <c r="D4" i="36"/>
  <c r="L12" i="18"/>
  <c r="F4" i="36"/>
  <c r="H16" i="17"/>
  <c r="N16" i="17" s="1"/>
  <c r="R12" i="16"/>
  <c r="O12" i="17"/>
  <c r="Q12" i="17" s="1"/>
  <c r="R12" i="15"/>
  <c r="T12" i="15" s="1"/>
  <c r="T12" i="14"/>
  <c r="D13" i="14" s="1"/>
  <c r="B16" i="16"/>
  <c r="N15" i="16"/>
  <c r="B16" i="17"/>
  <c r="N15" i="17"/>
  <c r="B16" i="14"/>
  <c r="C16" i="14" s="1"/>
  <c r="N15" i="14"/>
  <c r="B16" i="18"/>
  <c r="N15" i="18"/>
  <c r="B16" i="11"/>
  <c r="C16" i="11" s="1"/>
  <c r="N15" i="11"/>
  <c r="B16" i="15"/>
  <c r="C16" i="15" s="1"/>
  <c r="N15" i="15"/>
  <c r="H16" i="15"/>
  <c r="H16" i="11"/>
  <c r="H16" i="14"/>
  <c r="H16" i="16"/>
  <c r="H16" i="18"/>
  <c r="J24" i="16"/>
  <c r="J24" i="18"/>
  <c r="J24" i="17"/>
  <c r="J21" i="14"/>
  <c r="J21" i="11"/>
  <c r="J21" i="15"/>
  <c r="T12" i="16" l="1"/>
  <c r="D13" i="16" s="1"/>
  <c r="E13" i="16" s="1"/>
  <c r="F13" i="16" s="1"/>
  <c r="T12" i="18"/>
  <c r="D13" i="18" s="1"/>
  <c r="E13" i="18" s="1"/>
  <c r="F13" i="18" s="1"/>
  <c r="R12" i="17"/>
  <c r="T12" i="17" s="1"/>
  <c r="D13" i="17" s="1"/>
  <c r="E4" i="36"/>
  <c r="B17" i="17"/>
  <c r="H17" i="17"/>
  <c r="B18" i="17" s="1"/>
  <c r="M13" i="14"/>
  <c r="M13" i="16"/>
  <c r="M13" i="15"/>
  <c r="D13" i="15"/>
  <c r="E13" i="15" s="1"/>
  <c r="F13" i="15" s="1"/>
  <c r="M13" i="18"/>
  <c r="K13" i="14"/>
  <c r="L13" i="14" s="1"/>
  <c r="B17" i="14"/>
  <c r="C17" i="14" s="1"/>
  <c r="N16" i="14"/>
  <c r="B17" i="18"/>
  <c r="N16" i="18"/>
  <c r="B17" i="11"/>
  <c r="C17" i="11" s="1"/>
  <c r="N16" i="11"/>
  <c r="B17" i="16"/>
  <c r="N16" i="16"/>
  <c r="B17" i="15"/>
  <c r="C17" i="15" s="1"/>
  <c r="N16" i="15"/>
  <c r="E13" i="14"/>
  <c r="F13" i="14" s="1"/>
  <c r="H17" i="16"/>
  <c r="H17" i="14"/>
  <c r="H17" i="11"/>
  <c r="H17" i="18"/>
  <c r="H17" i="15"/>
  <c r="J25" i="18"/>
  <c r="J25" i="17"/>
  <c r="J25" i="16"/>
  <c r="J22" i="11"/>
  <c r="J22" i="15"/>
  <c r="J22" i="14"/>
  <c r="H18" i="17" l="1"/>
  <c r="N18" i="17" s="1"/>
  <c r="N17" i="17"/>
  <c r="K13" i="15"/>
  <c r="L13" i="15" s="1"/>
  <c r="S13" i="14"/>
  <c r="O13" i="14"/>
  <c r="Q13" i="14" s="1"/>
  <c r="R13" i="14" s="1"/>
  <c r="S13" i="18"/>
  <c r="O13" i="18"/>
  <c r="S13" i="16"/>
  <c r="O13" i="16"/>
  <c r="S13" i="15"/>
  <c r="O13" i="15"/>
  <c r="K13" i="18"/>
  <c r="M13" i="17"/>
  <c r="K13" i="16"/>
  <c r="B18" i="11"/>
  <c r="C18" i="11" s="1"/>
  <c r="N17" i="11"/>
  <c r="B18" i="15"/>
  <c r="C18" i="15" s="1"/>
  <c r="N17" i="15"/>
  <c r="B18" i="14"/>
  <c r="C18" i="14" s="1"/>
  <c r="N17" i="14"/>
  <c r="B18" i="16"/>
  <c r="N17" i="16"/>
  <c r="B18" i="18"/>
  <c r="N17" i="18"/>
  <c r="E13" i="17"/>
  <c r="F13" i="17" s="1"/>
  <c r="K13" i="17"/>
  <c r="H18" i="18"/>
  <c r="H18" i="14"/>
  <c r="H18" i="15"/>
  <c r="H18" i="11"/>
  <c r="H18" i="16"/>
  <c r="J26" i="17"/>
  <c r="J26" i="16"/>
  <c r="J26" i="18"/>
  <c r="J23" i="14"/>
  <c r="J23" i="15"/>
  <c r="J23" i="11"/>
  <c r="L13" i="18" l="1"/>
  <c r="F5" i="36"/>
  <c r="L13" i="16"/>
  <c r="L13" i="17"/>
  <c r="D5" i="36"/>
  <c r="B19" i="17"/>
  <c r="H19" i="17"/>
  <c r="N19" i="17" s="1"/>
  <c r="Q13" i="15"/>
  <c r="R13" i="15" s="1"/>
  <c r="S13" i="17"/>
  <c r="O13" i="17"/>
  <c r="Q13" i="17" s="1"/>
  <c r="E5" i="36" s="1"/>
  <c r="Q13" i="18"/>
  <c r="Q13" i="16"/>
  <c r="B19" i="11"/>
  <c r="C19" i="11" s="1"/>
  <c r="N18" i="11"/>
  <c r="B19" i="15"/>
  <c r="C19" i="15" s="1"/>
  <c r="N18" i="15"/>
  <c r="B19" i="14"/>
  <c r="C19" i="14" s="1"/>
  <c r="N18" i="14"/>
  <c r="B19" i="16"/>
  <c r="N18" i="16"/>
  <c r="B19" i="18"/>
  <c r="N18" i="18"/>
  <c r="T13" i="14"/>
  <c r="D14" i="14" s="1"/>
  <c r="H19" i="16"/>
  <c r="H19" i="15"/>
  <c r="H19" i="14"/>
  <c r="H19" i="18"/>
  <c r="H19" i="11"/>
  <c r="J27" i="18"/>
  <c r="J27" i="17"/>
  <c r="J27" i="16"/>
  <c r="J24" i="11"/>
  <c r="J24" i="15"/>
  <c r="J24" i="14"/>
  <c r="G5" i="36" l="1"/>
  <c r="B20" i="17"/>
  <c r="H20" i="17"/>
  <c r="B21" i="17" s="1"/>
  <c r="T13" i="15"/>
  <c r="D14" i="15" s="1"/>
  <c r="M14" i="14"/>
  <c r="R13" i="16"/>
  <c r="T13" i="16" s="1"/>
  <c r="D14" i="16" s="1"/>
  <c r="R13" i="18"/>
  <c r="T13" i="18" s="1"/>
  <c r="R13" i="17"/>
  <c r="T13" i="17" s="1"/>
  <c r="D14" i="17" s="1"/>
  <c r="K14" i="14"/>
  <c r="L14" i="14" s="1"/>
  <c r="E14" i="14"/>
  <c r="F14" i="14" s="1"/>
  <c r="B20" i="11"/>
  <c r="C20" i="11" s="1"/>
  <c r="N19" i="11"/>
  <c r="B20" i="16"/>
  <c r="N19" i="16"/>
  <c r="B20" i="18"/>
  <c r="N19" i="18"/>
  <c r="B20" i="14"/>
  <c r="C20" i="14" s="1"/>
  <c r="N19" i="14"/>
  <c r="B20" i="15"/>
  <c r="C20" i="15" s="1"/>
  <c r="N19" i="15"/>
  <c r="H20" i="16"/>
  <c r="H20" i="18"/>
  <c r="H20" i="15"/>
  <c r="H20" i="11"/>
  <c r="H20" i="14"/>
  <c r="J28" i="17"/>
  <c r="J28" i="16"/>
  <c r="J28" i="18"/>
  <c r="J25" i="14"/>
  <c r="J25" i="15"/>
  <c r="J25" i="11"/>
  <c r="H21" i="17" l="1"/>
  <c r="N21" i="17" s="1"/>
  <c r="N20" i="17"/>
  <c r="M14" i="15"/>
  <c r="M14" i="17"/>
  <c r="M14" i="16"/>
  <c r="K14" i="16"/>
  <c r="E14" i="16"/>
  <c r="F14" i="16" s="1"/>
  <c r="S14" i="16" s="1"/>
  <c r="D14" i="18"/>
  <c r="M14" i="18"/>
  <c r="E14" i="15"/>
  <c r="F14" i="15" s="1"/>
  <c r="K14" i="15"/>
  <c r="S14" i="14"/>
  <c r="O14" i="14"/>
  <c r="Q14" i="14" s="1"/>
  <c r="R14" i="14" s="1"/>
  <c r="K14" i="17"/>
  <c r="B21" i="15"/>
  <c r="C21" i="15" s="1"/>
  <c r="N20" i="15"/>
  <c r="B21" i="18"/>
  <c r="N20" i="18"/>
  <c r="B21" i="14"/>
  <c r="C21" i="14" s="1"/>
  <c r="N20" i="14"/>
  <c r="B21" i="11"/>
  <c r="C21" i="11" s="1"/>
  <c r="N20" i="11"/>
  <c r="B21" i="16"/>
  <c r="N20" i="16"/>
  <c r="E14" i="17"/>
  <c r="F14" i="17" s="1"/>
  <c r="H21" i="16"/>
  <c r="H21" i="14"/>
  <c r="H21" i="18"/>
  <c r="H21" i="15"/>
  <c r="H21" i="11"/>
  <c r="J29" i="16"/>
  <c r="J29" i="18"/>
  <c r="J29" i="17"/>
  <c r="J26" i="15"/>
  <c r="J26" i="11"/>
  <c r="J26" i="14"/>
  <c r="L14" i="17" l="1"/>
  <c r="D6" i="36"/>
  <c r="L14" i="16"/>
  <c r="B22" i="17"/>
  <c r="H22" i="17"/>
  <c r="B23" i="17" s="1"/>
  <c r="O14" i="16"/>
  <c r="Q14" i="16" s="1"/>
  <c r="S14" i="15"/>
  <c r="O14" i="15"/>
  <c r="Q14" i="15" s="1"/>
  <c r="L14" i="15"/>
  <c r="K14" i="18"/>
  <c r="E14" i="18"/>
  <c r="F14" i="18" s="1"/>
  <c r="O14" i="17"/>
  <c r="Q14" i="17" s="1"/>
  <c r="T14" i="14"/>
  <c r="B22" i="11"/>
  <c r="C22" i="11" s="1"/>
  <c r="N21" i="11"/>
  <c r="B22" i="15"/>
  <c r="C22" i="15" s="1"/>
  <c r="N21" i="15"/>
  <c r="B22" i="18"/>
  <c r="N21" i="18"/>
  <c r="B22" i="14"/>
  <c r="C22" i="14" s="1"/>
  <c r="N21" i="14"/>
  <c r="B22" i="16"/>
  <c r="N21" i="16"/>
  <c r="S14" i="17"/>
  <c r="H22" i="16"/>
  <c r="H22" i="11"/>
  <c r="H22" i="15"/>
  <c r="H22" i="18"/>
  <c r="H22" i="14"/>
  <c r="J30" i="17"/>
  <c r="J30" i="16"/>
  <c r="J30" i="18"/>
  <c r="J27" i="15"/>
  <c r="J27" i="14"/>
  <c r="J27" i="11"/>
  <c r="R14" i="17" l="1"/>
  <c r="T14" i="17" s="1"/>
  <c r="M15" i="17" s="1"/>
  <c r="E6" i="36"/>
  <c r="L14" i="18"/>
  <c r="F6" i="36"/>
  <c r="N22" i="17"/>
  <c r="H23" i="17"/>
  <c r="N23" i="17" s="1"/>
  <c r="R14" i="16"/>
  <c r="T14" i="16" s="1"/>
  <c r="M15" i="16" s="1"/>
  <c r="R14" i="15"/>
  <c r="T14" i="15" s="1"/>
  <c r="O14" i="18"/>
  <c r="Q14" i="18" s="1"/>
  <c r="S14" i="18"/>
  <c r="D15" i="14"/>
  <c r="M15" i="14"/>
  <c r="B23" i="14"/>
  <c r="C23" i="14" s="1"/>
  <c r="N22" i="14"/>
  <c r="B23" i="18"/>
  <c r="N22" i="18"/>
  <c r="B23" i="16"/>
  <c r="N22" i="16"/>
  <c r="B23" i="15"/>
  <c r="C23" i="15" s="1"/>
  <c r="N22" i="15"/>
  <c r="B23" i="11"/>
  <c r="C23" i="11" s="1"/>
  <c r="N22" i="11"/>
  <c r="B24" i="17"/>
  <c r="H23" i="16"/>
  <c r="H23" i="14"/>
  <c r="H23" i="18"/>
  <c r="H23" i="11"/>
  <c r="H23" i="15"/>
  <c r="J31" i="16"/>
  <c r="J31" i="18"/>
  <c r="J31" i="17"/>
  <c r="J28" i="14"/>
  <c r="J28" i="11"/>
  <c r="J28" i="15"/>
  <c r="R14" i="18" l="1"/>
  <c r="T14" i="18" s="1"/>
  <c r="G6" i="36"/>
  <c r="H24" i="17"/>
  <c r="H25" i="17" s="1"/>
  <c r="D15" i="16"/>
  <c r="K15" i="16" s="1"/>
  <c r="M15" i="15"/>
  <c r="D15" i="15"/>
  <c r="K15" i="14"/>
  <c r="E15" i="14"/>
  <c r="F15" i="14" s="1"/>
  <c r="B24" i="14"/>
  <c r="C24" i="14" s="1"/>
  <c r="N23" i="14"/>
  <c r="B24" i="15"/>
  <c r="C24" i="15" s="1"/>
  <c r="N23" i="15"/>
  <c r="B24" i="16"/>
  <c r="N23" i="16"/>
  <c r="B24" i="11"/>
  <c r="C24" i="11" s="1"/>
  <c r="N23" i="11"/>
  <c r="B24" i="18"/>
  <c r="N23" i="18"/>
  <c r="D15" i="17"/>
  <c r="H24" i="16"/>
  <c r="H24" i="11"/>
  <c r="H24" i="18"/>
  <c r="H24" i="15"/>
  <c r="H24" i="14"/>
  <c r="J32" i="17"/>
  <c r="J32" i="18"/>
  <c r="J32" i="16"/>
  <c r="J29" i="15"/>
  <c r="J29" i="11"/>
  <c r="J29" i="14"/>
  <c r="L15" i="16" l="1"/>
  <c r="N24" i="17"/>
  <c r="B25" i="17"/>
  <c r="E15" i="16"/>
  <c r="F15" i="16" s="1"/>
  <c r="S15" i="16" s="1"/>
  <c r="M15" i="18"/>
  <c r="D15" i="18"/>
  <c r="K15" i="15"/>
  <c r="E15" i="15"/>
  <c r="F15" i="15" s="1"/>
  <c r="S15" i="14"/>
  <c r="O15" i="14"/>
  <c r="Q15" i="14" s="1"/>
  <c r="R15" i="14" s="1"/>
  <c r="L15" i="14"/>
  <c r="B25" i="14"/>
  <c r="C25" i="14" s="1"/>
  <c r="N24" i="14"/>
  <c r="B26" i="17"/>
  <c r="N25" i="17"/>
  <c r="B25" i="15"/>
  <c r="C25" i="15" s="1"/>
  <c r="N24" i="15"/>
  <c r="B25" i="16"/>
  <c r="N24" i="16"/>
  <c r="B25" i="18"/>
  <c r="N24" i="18"/>
  <c r="B25" i="11"/>
  <c r="C25" i="11" s="1"/>
  <c r="N24" i="11"/>
  <c r="K15" i="17"/>
  <c r="E15" i="17"/>
  <c r="F15" i="17" s="1"/>
  <c r="H26" i="17"/>
  <c r="H25" i="16"/>
  <c r="H25" i="14"/>
  <c r="H25" i="18"/>
  <c r="H25" i="15"/>
  <c r="H25" i="11"/>
  <c r="J33" i="16"/>
  <c r="J33" i="18"/>
  <c r="J33" i="17"/>
  <c r="J30" i="11"/>
  <c r="J30" i="14"/>
  <c r="J30" i="15"/>
  <c r="L15" i="17" l="1"/>
  <c r="D7" i="36"/>
  <c r="O15" i="16"/>
  <c r="Q15" i="16" s="1"/>
  <c r="S15" i="17"/>
  <c r="O15" i="17"/>
  <c r="Q15" i="17" s="1"/>
  <c r="E7" i="36" s="1"/>
  <c r="T15" i="14"/>
  <c r="M16" i="14" s="1"/>
  <c r="S15" i="15"/>
  <c r="O15" i="15"/>
  <c r="Q15" i="15" s="1"/>
  <c r="L15" i="15"/>
  <c r="E15" i="18"/>
  <c r="F15" i="18" s="1"/>
  <c r="K15" i="18"/>
  <c r="F7" i="36" s="1"/>
  <c r="B26" i="11"/>
  <c r="C26" i="11" s="1"/>
  <c r="N25" i="11"/>
  <c r="B26" i="16"/>
  <c r="N25" i="16"/>
  <c r="B26" i="15"/>
  <c r="C26" i="15" s="1"/>
  <c r="N25" i="15"/>
  <c r="B27" i="17"/>
  <c r="N26" i="17"/>
  <c r="B26" i="18"/>
  <c r="N25" i="18"/>
  <c r="B26" i="14"/>
  <c r="C26" i="14" s="1"/>
  <c r="N25" i="14"/>
  <c r="H27" i="17"/>
  <c r="H26" i="16"/>
  <c r="H26" i="18"/>
  <c r="H26" i="14"/>
  <c r="H26" i="11"/>
  <c r="H26" i="15"/>
  <c r="J34" i="17"/>
  <c r="J34" i="18"/>
  <c r="J34" i="16"/>
  <c r="J31" i="15"/>
  <c r="J31" i="14"/>
  <c r="J31" i="11"/>
  <c r="R15" i="16" l="1"/>
  <c r="T15" i="16" s="1"/>
  <c r="D16" i="16" s="1"/>
  <c r="D16" i="14"/>
  <c r="E16" i="14" s="1"/>
  <c r="F16" i="14" s="1"/>
  <c r="R15" i="15"/>
  <c r="T15" i="15" s="1"/>
  <c r="S15" i="18"/>
  <c r="O15" i="18"/>
  <c r="Q15" i="18" s="1"/>
  <c r="L15" i="18"/>
  <c r="R15" i="17"/>
  <c r="T15" i="17" s="1"/>
  <c r="B28" i="17"/>
  <c r="N27" i="17"/>
  <c r="B27" i="14"/>
  <c r="C27" i="14" s="1"/>
  <c r="N26" i="14"/>
  <c r="B27" i="18"/>
  <c r="N26" i="18"/>
  <c r="B27" i="15"/>
  <c r="C27" i="15" s="1"/>
  <c r="N26" i="15"/>
  <c r="B27" i="16"/>
  <c r="N26" i="16"/>
  <c r="B27" i="11"/>
  <c r="C27" i="11" s="1"/>
  <c r="N26" i="11"/>
  <c r="H27" i="16"/>
  <c r="H28" i="17"/>
  <c r="H27" i="11"/>
  <c r="H27" i="18"/>
  <c r="H27" i="15"/>
  <c r="H27" i="14"/>
  <c r="J35" i="17"/>
  <c r="J35" i="18"/>
  <c r="J35" i="16"/>
  <c r="J32" i="14"/>
  <c r="J32" i="11"/>
  <c r="J32" i="15"/>
  <c r="R15" i="18" l="1"/>
  <c r="T15" i="18" s="1"/>
  <c r="G7" i="36"/>
  <c r="M16" i="16"/>
  <c r="K16" i="14"/>
  <c r="L16" i="14" s="1"/>
  <c r="D16" i="15"/>
  <c r="M16" i="15"/>
  <c r="D16" i="17"/>
  <c r="M16" i="17"/>
  <c r="E16" i="16"/>
  <c r="F16" i="16" s="1"/>
  <c r="K16" i="16"/>
  <c r="S16" i="14"/>
  <c r="O16" i="14"/>
  <c r="B28" i="15"/>
  <c r="C28" i="15" s="1"/>
  <c r="N27" i="15"/>
  <c r="B28" i="16"/>
  <c r="N27" i="16"/>
  <c r="B28" i="18"/>
  <c r="N27" i="18"/>
  <c r="B28" i="11"/>
  <c r="C28" i="11" s="1"/>
  <c r="N27" i="11"/>
  <c r="B28" i="14"/>
  <c r="C28" i="14" s="1"/>
  <c r="N27" i="14"/>
  <c r="B29" i="17"/>
  <c r="N28" i="17"/>
  <c r="H28" i="11"/>
  <c r="H29" i="17"/>
  <c r="H28" i="16"/>
  <c r="H28" i="14"/>
  <c r="H28" i="15"/>
  <c r="H28" i="18"/>
  <c r="J36" i="16"/>
  <c r="J36" i="18"/>
  <c r="J36" i="17"/>
  <c r="J33" i="11"/>
  <c r="J33" i="14"/>
  <c r="J33" i="15"/>
  <c r="L16" i="16" l="1"/>
  <c r="Q16" i="14"/>
  <c r="R16" i="14" s="1"/>
  <c r="K16" i="17"/>
  <c r="E16" i="17"/>
  <c r="F16" i="17" s="1"/>
  <c r="O16" i="16"/>
  <c r="Q16" i="16" s="1"/>
  <c r="S16" i="16"/>
  <c r="M16" i="18"/>
  <c r="D16" i="18"/>
  <c r="K16" i="15"/>
  <c r="L16" i="15" s="1"/>
  <c r="E16" i="15"/>
  <c r="F16" i="15" s="1"/>
  <c r="B29" i="15"/>
  <c r="C29" i="15" s="1"/>
  <c r="N28" i="15"/>
  <c r="B29" i="16"/>
  <c r="N28" i="16"/>
  <c r="B29" i="18"/>
  <c r="N28" i="18"/>
  <c r="B30" i="17"/>
  <c r="N29" i="17"/>
  <c r="B29" i="11"/>
  <c r="C29" i="11" s="1"/>
  <c r="N28" i="11"/>
  <c r="B29" i="14"/>
  <c r="C29" i="14" s="1"/>
  <c r="N28" i="14"/>
  <c r="H30" i="17"/>
  <c r="H29" i="11"/>
  <c r="H29" i="16"/>
  <c r="H29" i="15"/>
  <c r="H29" i="18"/>
  <c r="H29" i="14"/>
  <c r="J37" i="18"/>
  <c r="J37" i="17"/>
  <c r="J37" i="16"/>
  <c r="J34" i="14"/>
  <c r="J34" i="15"/>
  <c r="J34" i="11"/>
  <c r="L16" i="17" l="1"/>
  <c r="D8" i="36"/>
  <c r="T16" i="14"/>
  <c r="M17" i="14" s="1"/>
  <c r="R16" i="16"/>
  <c r="T16" i="16" s="1"/>
  <c r="O16" i="15"/>
  <c r="Q16" i="15" s="1"/>
  <c r="R16" i="15" s="1"/>
  <c r="S16" i="15"/>
  <c r="K16" i="18"/>
  <c r="E16" i="18"/>
  <c r="F16" i="18" s="1"/>
  <c r="O16" i="17"/>
  <c r="Q16" i="17" s="1"/>
  <c r="S16" i="17"/>
  <c r="B30" i="18"/>
  <c r="N29" i="18"/>
  <c r="B30" i="15"/>
  <c r="C30" i="15" s="1"/>
  <c r="N29" i="15"/>
  <c r="B30" i="16"/>
  <c r="N29" i="16"/>
  <c r="B30" i="14"/>
  <c r="C30" i="14" s="1"/>
  <c r="N29" i="14"/>
  <c r="B30" i="11"/>
  <c r="C30" i="11" s="1"/>
  <c r="N29" i="11"/>
  <c r="B31" i="17"/>
  <c r="N30" i="17"/>
  <c r="H31" i="17"/>
  <c r="H30" i="11"/>
  <c r="H30" i="16"/>
  <c r="H30" i="14"/>
  <c r="H30" i="15"/>
  <c r="H30" i="18"/>
  <c r="J38" i="16"/>
  <c r="J38" i="17"/>
  <c r="J38" i="18"/>
  <c r="J35" i="11"/>
  <c r="J35" i="15"/>
  <c r="J35" i="14"/>
  <c r="L16" i="18" l="1"/>
  <c r="F8" i="36"/>
  <c r="D17" i="14"/>
  <c r="K17" i="14" s="1"/>
  <c r="R16" i="17"/>
  <c r="T16" i="17" s="1"/>
  <c r="E8" i="36"/>
  <c r="O16" i="18"/>
  <c r="Q16" i="18" s="1"/>
  <c r="S16" i="18"/>
  <c r="D17" i="16"/>
  <c r="M17" i="16"/>
  <c r="T16" i="15"/>
  <c r="B31" i="16"/>
  <c r="N30" i="16"/>
  <c r="B31" i="18"/>
  <c r="N30" i="18"/>
  <c r="B31" i="15"/>
  <c r="C31" i="15" s="1"/>
  <c r="N30" i="15"/>
  <c r="B32" i="17"/>
  <c r="N31" i="17"/>
  <c r="B31" i="14"/>
  <c r="C31" i="14" s="1"/>
  <c r="N30" i="14"/>
  <c r="B31" i="11"/>
  <c r="C31" i="11" s="1"/>
  <c r="N30" i="11"/>
  <c r="H31" i="11"/>
  <c r="H31" i="16"/>
  <c r="H32" i="17"/>
  <c r="H31" i="14"/>
  <c r="H31" i="18"/>
  <c r="H31" i="15"/>
  <c r="J39" i="17"/>
  <c r="J39" i="18"/>
  <c r="J39" i="16"/>
  <c r="J36" i="15"/>
  <c r="J36" i="14"/>
  <c r="J36" i="11"/>
  <c r="E17" i="14" l="1"/>
  <c r="F17" i="14" s="1"/>
  <c r="S17" i="14" s="1"/>
  <c r="R16" i="18"/>
  <c r="T16" i="18" s="1"/>
  <c r="D17" i="18" s="1"/>
  <c r="G8" i="36"/>
  <c r="D17" i="15"/>
  <c r="M17" i="15"/>
  <c r="O17" i="14"/>
  <c r="Q17" i="14" s="1"/>
  <c r="K17" i="16"/>
  <c r="E17" i="16"/>
  <c r="F17" i="16" s="1"/>
  <c r="D17" i="17"/>
  <c r="M17" i="17"/>
  <c r="L17" i="14"/>
  <c r="B32" i="15"/>
  <c r="C32" i="15" s="1"/>
  <c r="N31" i="15"/>
  <c r="B32" i="16"/>
  <c r="N31" i="16"/>
  <c r="B32" i="18"/>
  <c r="N31" i="18"/>
  <c r="B32" i="11"/>
  <c r="C32" i="11" s="1"/>
  <c r="N31" i="11"/>
  <c r="B32" i="14"/>
  <c r="C32" i="14" s="1"/>
  <c r="N31" i="14"/>
  <c r="B33" i="17"/>
  <c r="N32" i="17"/>
  <c r="H32" i="16"/>
  <c r="H33" i="17"/>
  <c r="H32" i="11"/>
  <c r="H32" i="18"/>
  <c r="H32" i="15"/>
  <c r="H32" i="14"/>
  <c r="J40" i="18"/>
  <c r="J40" i="17"/>
  <c r="J40" i="16"/>
  <c r="J37" i="15"/>
  <c r="J37" i="11"/>
  <c r="J37" i="14"/>
  <c r="M17" i="18" l="1"/>
  <c r="R17" i="14"/>
  <c r="T17" i="14" s="1"/>
  <c r="K17" i="17"/>
  <c r="D9" i="36" s="1"/>
  <c r="E17" i="17"/>
  <c r="F17" i="17" s="1"/>
  <c r="E17" i="18"/>
  <c r="F17" i="18" s="1"/>
  <c r="K17" i="18"/>
  <c r="O17" i="16"/>
  <c r="Q17" i="16" s="1"/>
  <c r="S17" i="16"/>
  <c r="L17" i="16"/>
  <c r="K17" i="15"/>
  <c r="E17" i="15"/>
  <c r="F17" i="15" s="1"/>
  <c r="B33" i="11"/>
  <c r="C33" i="11" s="1"/>
  <c r="N32" i="11"/>
  <c r="B33" i="14"/>
  <c r="C33" i="14" s="1"/>
  <c r="N32" i="14"/>
  <c r="B34" i="17"/>
  <c r="N33" i="17"/>
  <c r="B33" i="15"/>
  <c r="C33" i="15" s="1"/>
  <c r="N32" i="15"/>
  <c r="B33" i="16"/>
  <c r="N32" i="16"/>
  <c r="B33" i="18"/>
  <c r="N32" i="18"/>
  <c r="H33" i="11"/>
  <c r="H34" i="17"/>
  <c r="H33" i="16"/>
  <c r="H33" i="15"/>
  <c r="H33" i="14"/>
  <c r="H33" i="18"/>
  <c r="J41" i="17"/>
  <c r="J41" i="18"/>
  <c r="J41" i="16"/>
  <c r="J38" i="15"/>
  <c r="J38" i="11"/>
  <c r="J38" i="14"/>
  <c r="F9" i="36" l="1"/>
  <c r="D18" i="14"/>
  <c r="M18" i="14"/>
  <c r="R17" i="16"/>
  <c r="T17" i="16" s="1"/>
  <c r="O17" i="17"/>
  <c r="Q17" i="17" s="1"/>
  <c r="S17" i="17"/>
  <c r="L17" i="17"/>
  <c r="S17" i="15"/>
  <c r="O17" i="15"/>
  <c r="Q17" i="15" s="1"/>
  <c r="L17" i="18"/>
  <c r="L17" i="15"/>
  <c r="S17" i="18"/>
  <c r="O17" i="18"/>
  <c r="Q17" i="18" s="1"/>
  <c r="B34" i="15"/>
  <c r="C34" i="15" s="1"/>
  <c r="N33" i="15"/>
  <c r="B34" i="16"/>
  <c r="N33" i="16"/>
  <c r="B34" i="18"/>
  <c r="N33" i="18"/>
  <c r="B35" i="17"/>
  <c r="N34" i="17"/>
  <c r="B34" i="14"/>
  <c r="C34" i="14" s="1"/>
  <c r="N33" i="14"/>
  <c r="B34" i="11"/>
  <c r="C34" i="11" s="1"/>
  <c r="N33" i="11"/>
  <c r="H34" i="16"/>
  <c r="H35" i="17"/>
  <c r="H34" i="11"/>
  <c r="H34" i="14"/>
  <c r="H34" i="18"/>
  <c r="H34" i="15"/>
  <c r="J42" i="17"/>
  <c r="J42" i="18"/>
  <c r="J42" i="16"/>
  <c r="J39" i="14"/>
  <c r="J39" i="11"/>
  <c r="J39" i="15"/>
  <c r="G9" i="36" l="1"/>
  <c r="R17" i="17"/>
  <c r="T17" i="17" s="1"/>
  <c r="D18" i="17" s="1"/>
  <c r="E9" i="36"/>
  <c r="R17" i="18"/>
  <c r="T17" i="18" s="1"/>
  <c r="R17" i="15"/>
  <c r="T17" i="15" s="1"/>
  <c r="D18" i="16"/>
  <c r="M18" i="16"/>
  <c r="K18" i="14"/>
  <c r="L18" i="14" s="1"/>
  <c r="E18" i="14"/>
  <c r="F18" i="14" s="1"/>
  <c r="B35" i="18"/>
  <c r="N34" i="18"/>
  <c r="B35" i="14"/>
  <c r="C35" i="14" s="1"/>
  <c r="N34" i="14"/>
  <c r="B35" i="11"/>
  <c r="C35" i="11" s="1"/>
  <c r="N34" i="11"/>
  <c r="B35" i="15"/>
  <c r="C35" i="15" s="1"/>
  <c r="N34" i="15"/>
  <c r="B36" i="17"/>
  <c r="N35" i="17"/>
  <c r="B35" i="16"/>
  <c r="N34" i="16"/>
  <c r="H35" i="11"/>
  <c r="H36" i="17"/>
  <c r="H35" i="16"/>
  <c r="H35" i="15"/>
  <c r="H35" i="14"/>
  <c r="H35" i="18"/>
  <c r="J43" i="16"/>
  <c r="J43" i="17"/>
  <c r="J43" i="18"/>
  <c r="J40" i="11"/>
  <c r="J40" i="14"/>
  <c r="J40" i="15"/>
  <c r="M18" i="17" l="1"/>
  <c r="D18" i="18"/>
  <c r="M18" i="18"/>
  <c r="D18" i="15"/>
  <c r="M18" i="15"/>
  <c r="E18" i="16"/>
  <c r="F18" i="16" s="1"/>
  <c r="K18" i="16"/>
  <c r="S18" i="14"/>
  <c r="O18" i="14"/>
  <c r="Q18" i="14" s="1"/>
  <c r="R18" i="14" s="1"/>
  <c r="K18" i="17"/>
  <c r="E18" i="17"/>
  <c r="F18" i="17" s="1"/>
  <c r="B36" i="16"/>
  <c r="N35" i="16"/>
  <c r="B36" i="15"/>
  <c r="C36" i="15" s="1"/>
  <c r="N35" i="15"/>
  <c r="B36" i="18"/>
  <c r="N35" i="18"/>
  <c r="B37" i="17"/>
  <c r="N36" i="17"/>
  <c r="B36" i="14"/>
  <c r="C36" i="14" s="1"/>
  <c r="N35" i="14"/>
  <c r="B36" i="11"/>
  <c r="C36" i="11" s="1"/>
  <c r="N35" i="11"/>
  <c r="H36" i="16"/>
  <c r="H36" i="11"/>
  <c r="H37" i="17"/>
  <c r="H36" i="15"/>
  <c r="H36" i="18"/>
  <c r="H36" i="14"/>
  <c r="J44" i="18"/>
  <c r="J44" i="16"/>
  <c r="J44" i="17"/>
  <c r="J41" i="14"/>
  <c r="J41" i="15"/>
  <c r="J41" i="11"/>
  <c r="L18" i="16" l="1"/>
  <c r="L18" i="17"/>
  <c r="D10" i="36"/>
  <c r="T18" i="14"/>
  <c r="D19" i="14" s="1"/>
  <c r="K19" i="14" s="1"/>
  <c r="K18" i="15"/>
  <c r="L18" i="15" s="1"/>
  <c r="E18" i="15"/>
  <c r="F18" i="15" s="1"/>
  <c r="S18" i="17"/>
  <c r="O18" i="17"/>
  <c r="Q18" i="17" s="1"/>
  <c r="E10" i="36" s="1"/>
  <c r="O18" i="16"/>
  <c r="Q18" i="16" s="1"/>
  <c r="S18" i="16"/>
  <c r="K18" i="18"/>
  <c r="E18" i="18"/>
  <c r="F18" i="18" s="1"/>
  <c r="B37" i="15"/>
  <c r="C37" i="15" s="1"/>
  <c r="N36" i="15"/>
  <c r="B38" i="17"/>
  <c r="N37" i="17"/>
  <c r="B37" i="14"/>
  <c r="C37" i="14" s="1"/>
  <c r="N36" i="14"/>
  <c r="B37" i="11"/>
  <c r="C37" i="11" s="1"/>
  <c r="N36" i="11"/>
  <c r="B37" i="18"/>
  <c r="N36" i="18"/>
  <c r="B37" i="16"/>
  <c r="N36" i="16"/>
  <c r="H37" i="11"/>
  <c r="H38" i="17"/>
  <c r="H37" i="16"/>
  <c r="H37" i="14"/>
  <c r="H37" i="18"/>
  <c r="H37" i="15"/>
  <c r="J45" i="16"/>
  <c r="J45" i="18"/>
  <c r="J45" i="17"/>
  <c r="J42" i="15"/>
  <c r="J42" i="11"/>
  <c r="J42" i="14"/>
  <c r="L18" i="18" l="1"/>
  <c r="F10" i="36"/>
  <c r="R18" i="16"/>
  <c r="T18" i="16" s="1"/>
  <c r="D19" i="16" s="1"/>
  <c r="M19" i="14"/>
  <c r="E19" i="14"/>
  <c r="F19" i="14" s="1"/>
  <c r="S19" i="14" s="1"/>
  <c r="R18" i="17"/>
  <c r="T18" i="17" s="1"/>
  <c r="S18" i="15"/>
  <c r="O18" i="15"/>
  <c r="Q18" i="15" s="1"/>
  <c r="R18" i="15" s="1"/>
  <c r="O18" i="18"/>
  <c r="Q18" i="18" s="1"/>
  <c r="S18" i="18"/>
  <c r="L19" i="14"/>
  <c r="B38" i="15"/>
  <c r="C38" i="15" s="1"/>
  <c r="N37" i="15"/>
  <c r="B38" i="18"/>
  <c r="N37" i="18"/>
  <c r="B38" i="14"/>
  <c r="C38" i="14" s="1"/>
  <c r="N37" i="14"/>
  <c r="B38" i="16"/>
  <c r="N37" i="16"/>
  <c r="B39" i="17"/>
  <c r="N38" i="17"/>
  <c r="B38" i="11"/>
  <c r="C38" i="11" s="1"/>
  <c r="N37" i="11"/>
  <c r="H39" i="17"/>
  <c r="H38" i="16"/>
  <c r="H38" i="11"/>
  <c r="H38" i="18"/>
  <c r="H38" i="15"/>
  <c r="H38" i="14"/>
  <c r="J46" i="18"/>
  <c r="J46" i="17"/>
  <c r="J46" i="16"/>
  <c r="J43" i="14"/>
  <c r="J43" i="15"/>
  <c r="J43" i="11"/>
  <c r="R18" i="18" l="1"/>
  <c r="T18" i="18" s="1"/>
  <c r="G10" i="36"/>
  <c r="O19" i="14"/>
  <c r="Q19" i="14" s="1"/>
  <c r="R19" i="14" s="1"/>
  <c r="T19" i="14" s="1"/>
  <c r="M19" i="16"/>
  <c r="T18" i="15"/>
  <c r="D19" i="15" s="1"/>
  <c r="K19" i="16"/>
  <c r="E19" i="16"/>
  <c r="F19" i="16" s="1"/>
  <c r="D19" i="17"/>
  <c r="M19" i="17"/>
  <c r="B39" i="14"/>
  <c r="C39" i="14" s="1"/>
  <c r="N38" i="14"/>
  <c r="B39" i="16"/>
  <c r="N38" i="16"/>
  <c r="B39" i="15"/>
  <c r="C39" i="15" s="1"/>
  <c r="N38" i="15"/>
  <c r="B40" i="17"/>
  <c r="N39" i="17"/>
  <c r="B39" i="18"/>
  <c r="N38" i="18"/>
  <c r="B39" i="11"/>
  <c r="C39" i="11" s="1"/>
  <c r="N38" i="11"/>
  <c r="H39" i="16"/>
  <c r="H39" i="11"/>
  <c r="H40" i="17"/>
  <c r="H39" i="15"/>
  <c r="H39" i="14"/>
  <c r="H39" i="18"/>
  <c r="J47" i="17"/>
  <c r="J47" i="16"/>
  <c r="J47" i="18"/>
  <c r="J44" i="15"/>
  <c r="J44" i="11"/>
  <c r="J44" i="14"/>
  <c r="L19" i="16" l="1"/>
  <c r="M19" i="15"/>
  <c r="D20" i="14"/>
  <c r="K20" i="14" s="1"/>
  <c r="L20" i="14" s="1"/>
  <c r="M20" i="14"/>
  <c r="O19" i="16"/>
  <c r="Q19" i="16" s="1"/>
  <c r="S19" i="16"/>
  <c r="E19" i="17"/>
  <c r="F19" i="17" s="1"/>
  <c r="K19" i="17"/>
  <c r="D19" i="18"/>
  <c r="M19" i="18"/>
  <c r="K19" i="15"/>
  <c r="L19" i="15" s="1"/>
  <c r="E19" i="15"/>
  <c r="F19" i="15" s="1"/>
  <c r="B40" i="14"/>
  <c r="C40" i="14" s="1"/>
  <c r="N39" i="14"/>
  <c r="B40" i="16"/>
  <c r="N39" i="16"/>
  <c r="B40" i="15"/>
  <c r="C40" i="15" s="1"/>
  <c r="N39" i="15"/>
  <c r="B41" i="17"/>
  <c r="N40" i="17"/>
  <c r="B40" i="18"/>
  <c r="N39" i="18"/>
  <c r="B40" i="11"/>
  <c r="C40" i="11" s="1"/>
  <c r="N39" i="11"/>
  <c r="H40" i="11"/>
  <c r="H41" i="17"/>
  <c r="H40" i="16"/>
  <c r="H40" i="14"/>
  <c r="H40" i="18"/>
  <c r="H40" i="15"/>
  <c r="J48" i="17"/>
  <c r="J48" i="18"/>
  <c r="J48" i="16"/>
  <c r="J45" i="11"/>
  <c r="J45" i="15"/>
  <c r="J45" i="14"/>
  <c r="R19" i="16" l="1"/>
  <c r="T19" i="16" s="1"/>
  <c r="L19" i="17"/>
  <c r="D11" i="36"/>
  <c r="E20" i="14"/>
  <c r="F20" i="14" s="1"/>
  <c r="O20" i="14" s="1"/>
  <c r="Q20" i="14" s="1"/>
  <c r="E19" i="18"/>
  <c r="F19" i="18" s="1"/>
  <c r="K19" i="18"/>
  <c r="F11" i="36" s="1"/>
  <c r="S19" i="15"/>
  <c r="O19" i="15"/>
  <c r="Q19" i="15" s="1"/>
  <c r="R19" i="15" s="1"/>
  <c r="S19" i="17"/>
  <c r="O19" i="17"/>
  <c r="Q19" i="17" s="1"/>
  <c r="B41" i="18"/>
  <c r="N40" i="18"/>
  <c r="B41" i="11"/>
  <c r="C41" i="11" s="1"/>
  <c r="N40" i="11"/>
  <c r="B41" i="14"/>
  <c r="C41" i="14" s="1"/>
  <c r="N40" i="14"/>
  <c r="B41" i="16"/>
  <c r="N40" i="16"/>
  <c r="B41" i="15"/>
  <c r="C41" i="15" s="1"/>
  <c r="N40" i="15"/>
  <c r="B42" i="17"/>
  <c r="N41" i="17"/>
  <c r="H42" i="17"/>
  <c r="H41" i="16"/>
  <c r="H41" i="11"/>
  <c r="H41" i="18"/>
  <c r="H41" i="15"/>
  <c r="H41" i="14"/>
  <c r="J49" i="16"/>
  <c r="J49" i="17"/>
  <c r="J49" i="18"/>
  <c r="J46" i="14"/>
  <c r="J46" i="11"/>
  <c r="J46" i="15"/>
  <c r="R19" i="17" l="1"/>
  <c r="T19" i="17" s="1"/>
  <c r="M20" i="17" s="1"/>
  <c r="E11" i="36"/>
  <c r="S20" i="14"/>
  <c r="L19" i="18"/>
  <c r="D20" i="16"/>
  <c r="M20" i="16"/>
  <c r="T19" i="15"/>
  <c r="O19" i="18"/>
  <c r="Q19" i="18" s="1"/>
  <c r="G11" i="36" s="1"/>
  <c r="S19" i="18"/>
  <c r="R20" i="14"/>
  <c r="B42" i="18"/>
  <c r="N41" i="18"/>
  <c r="B42" i="11"/>
  <c r="C42" i="11" s="1"/>
  <c r="N41" i="11"/>
  <c r="B42" i="14"/>
  <c r="C42" i="14" s="1"/>
  <c r="N41" i="14"/>
  <c r="B42" i="16"/>
  <c r="N41" i="16"/>
  <c r="B42" i="15"/>
  <c r="C42" i="15" s="1"/>
  <c r="N41" i="15"/>
  <c r="B43" i="17"/>
  <c r="N42" i="17"/>
  <c r="H42" i="16"/>
  <c r="H42" i="11"/>
  <c r="H43" i="17"/>
  <c r="H42" i="15"/>
  <c r="H42" i="14"/>
  <c r="H42" i="18"/>
  <c r="J50" i="17"/>
  <c r="J50" i="18"/>
  <c r="J50" i="16"/>
  <c r="J47" i="11"/>
  <c r="J47" i="15"/>
  <c r="J47" i="14"/>
  <c r="T20" i="14" l="1"/>
  <c r="D21" i="14" s="1"/>
  <c r="D20" i="17"/>
  <c r="K20" i="17" s="1"/>
  <c r="R19" i="18"/>
  <c r="T19" i="18" s="1"/>
  <c r="M20" i="15"/>
  <c r="D20" i="15"/>
  <c r="E20" i="16"/>
  <c r="F20" i="16" s="1"/>
  <c r="K20" i="16"/>
  <c r="M21" i="14"/>
  <c r="B43" i="15"/>
  <c r="C43" i="15" s="1"/>
  <c r="N42" i="15"/>
  <c r="B44" i="17"/>
  <c r="N43" i="17"/>
  <c r="B43" i="18"/>
  <c r="N42" i="18"/>
  <c r="B43" i="11"/>
  <c r="C43" i="11" s="1"/>
  <c r="N42" i="11"/>
  <c r="B43" i="14"/>
  <c r="C43" i="14" s="1"/>
  <c r="N42" i="14"/>
  <c r="B43" i="16"/>
  <c r="N42" i="16"/>
  <c r="H43" i="11"/>
  <c r="H44" i="17"/>
  <c r="H43" i="16"/>
  <c r="H43" i="14"/>
  <c r="H43" i="18"/>
  <c r="H43" i="15"/>
  <c r="J51" i="17"/>
  <c r="J51" i="16"/>
  <c r="J51" i="18"/>
  <c r="J48" i="14"/>
  <c r="J48" i="15"/>
  <c r="J48" i="11"/>
  <c r="L20" i="16" l="1"/>
  <c r="L20" i="17"/>
  <c r="D12" i="36"/>
  <c r="E20" i="17"/>
  <c r="F20" i="17" s="1"/>
  <c r="S20" i="17" s="1"/>
  <c r="K20" i="15"/>
  <c r="L20" i="15" s="1"/>
  <c r="E20" i="15"/>
  <c r="F20" i="15" s="1"/>
  <c r="M20" i="18"/>
  <c r="D20" i="18"/>
  <c r="O20" i="16"/>
  <c r="Q20" i="16" s="1"/>
  <c r="S20" i="16"/>
  <c r="E21" i="14"/>
  <c r="F21" i="14" s="1"/>
  <c r="O21" i="14" s="1"/>
  <c r="K21" i="14"/>
  <c r="B45" i="17"/>
  <c r="N44" i="17"/>
  <c r="B44" i="18"/>
  <c r="N43" i="18"/>
  <c r="B44" i="14"/>
  <c r="C44" i="14" s="1"/>
  <c r="N43" i="14"/>
  <c r="B44" i="16"/>
  <c r="N43" i="16"/>
  <c r="B44" i="15"/>
  <c r="C44" i="15" s="1"/>
  <c r="N43" i="15"/>
  <c r="B44" i="11"/>
  <c r="C44" i="11" s="1"/>
  <c r="N43" i="11"/>
  <c r="H45" i="17"/>
  <c r="H44" i="16"/>
  <c r="H44" i="11"/>
  <c r="H44" i="18"/>
  <c r="H44" i="15"/>
  <c r="H44" i="14"/>
  <c r="J52" i="18"/>
  <c r="J52" i="16"/>
  <c r="J52" i="17"/>
  <c r="J49" i="14"/>
  <c r="J49" i="15"/>
  <c r="J49" i="11"/>
  <c r="R20" i="16" l="1"/>
  <c r="T20" i="16" s="1"/>
  <c r="M21" i="16" s="1"/>
  <c r="O20" i="17"/>
  <c r="Q20" i="17" s="1"/>
  <c r="K20" i="18"/>
  <c r="E20" i="18"/>
  <c r="F20" i="18" s="1"/>
  <c r="S20" i="15"/>
  <c r="O20" i="15"/>
  <c r="Q20" i="15" s="1"/>
  <c r="R20" i="15" s="1"/>
  <c r="L21" i="14"/>
  <c r="Q21" i="14"/>
  <c r="R21" i="14" s="1"/>
  <c r="S21" i="14"/>
  <c r="B45" i="11"/>
  <c r="C45" i="11" s="1"/>
  <c r="N44" i="11"/>
  <c r="B45" i="14"/>
  <c r="C45" i="14" s="1"/>
  <c r="N44" i="14"/>
  <c r="B45" i="16"/>
  <c r="N44" i="16"/>
  <c r="B45" i="15"/>
  <c r="C45" i="15" s="1"/>
  <c r="N44" i="15"/>
  <c r="B45" i="18"/>
  <c r="N44" i="18"/>
  <c r="B46" i="17"/>
  <c r="N45" i="17"/>
  <c r="H45" i="16"/>
  <c r="H45" i="11"/>
  <c r="H46" i="17"/>
  <c r="H45" i="15"/>
  <c r="H45" i="14"/>
  <c r="H45" i="18"/>
  <c r="J53" i="16"/>
  <c r="J53" i="18"/>
  <c r="J53" i="17"/>
  <c r="J50" i="15"/>
  <c r="J50" i="11"/>
  <c r="J50" i="14"/>
  <c r="L20" i="18" l="1"/>
  <c r="F12" i="36"/>
  <c r="R20" i="17"/>
  <c r="T20" i="17" s="1"/>
  <c r="D21" i="17" s="1"/>
  <c r="E21" i="17" s="1"/>
  <c r="F21" i="17" s="1"/>
  <c r="E12" i="36"/>
  <c r="D21" i="16"/>
  <c r="E21" i="16" s="1"/>
  <c r="F21" i="16" s="1"/>
  <c r="M21" i="17"/>
  <c r="T20" i="15"/>
  <c r="S20" i="18"/>
  <c r="O20" i="18"/>
  <c r="Q20" i="18" s="1"/>
  <c r="T21" i="14"/>
  <c r="B46" i="18"/>
  <c r="N45" i="18"/>
  <c r="B47" i="17"/>
  <c r="N46" i="17"/>
  <c r="B46" i="16"/>
  <c r="N45" i="16"/>
  <c r="B46" i="14"/>
  <c r="C46" i="14" s="1"/>
  <c r="N45" i="14"/>
  <c r="B46" i="11"/>
  <c r="C46" i="11" s="1"/>
  <c r="N45" i="11"/>
  <c r="B46" i="15"/>
  <c r="C46" i="15" s="1"/>
  <c r="N45" i="15"/>
  <c r="H46" i="11"/>
  <c r="H47" i="17"/>
  <c r="H46" i="16"/>
  <c r="H46" i="14"/>
  <c r="H46" i="18"/>
  <c r="H46" i="15"/>
  <c r="J54" i="17"/>
  <c r="J54" i="16"/>
  <c r="J54" i="18"/>
  <c r="J51" i="11"/>
  <c r="J51" i="14"/>
  <c r="J51" i="15"/>
  <c r="K21" i="17" l="1"/>
  <c r="L21" i="17" s="1"/>
  <c r="R20" i="18"/>
  <c r="T20" i="18" s="1"/>
  <c r="G12" i="36"/>
  <c r="K21" i="16"/>
  <c r="D22" i="14"/>
  <c r="K22" i="14" s="1"/>
  <c r="M22" i="14"/>
  <c r="S21" i="17"/>
  <c r="O21" i="17"/>
  <c r="Q21" i="17" s="1"/>
  <c r="S21" i="16"/>
  <c r="O21" i="16"/>
  <c r="M21" i="15"/>
  <c r="D21" i="15"/>
  <c r="B47" i="15"/>
  <c r="C47" i="15" s="1"/>
  <c r="N46" i="15"/>
  <c r="B48" i="17"/>
  <c r="N47" i="17"/>
  <c r="B47" i="18"/>
  <c r="N46" i="18"/>
  <c r="B47" i="11"/>
  <c r="C47" i="11" s="1"/>
  <c r="N46" i="11"/>
  <c r="B47" i="14"/>
  <c r="C47" i="14" s="1"/>
  <c r="N46" i="14"/>
  <c r="B47" i="16"/>
  <c r="N46" i="16"/>
  <c r="H48" i="17"/>
  <c r="H47" i="16"/>
  <c r="H47" i="11"/>
  <c r="H47" i="15"/>
  <c r="H47" i="18"/>
  <c r="H47" i="14"/>
  <c r="J55" i="16"/>
  <c r="J55" i="18"/>
  <c r="J55" i="17"/>
  <c r="J52" i="15"/>
  <c r="J52" i="11"/>
  <c r="J52" i="14"/>
  <c r="D13" i="36" l="1"/>
  <c r="R21" i="17"/>
  <c r="T21" i="17" s="1"/>
  <c r="E13" i="36"/>
  <c r="L21" i="16"/>
  <c r="Q21" i="16"/>
  <c r="E22" i="14"/>
  <c r="F22" i="14" s="1"/>
  <c r="K21" i="15"/>
  <c r="L21" i="15" s="1"/>
  <c r="E21" i="15"/>
  <c r="F21" i="15" s="1"/>
  <c r="D21" i="18"/>
  <c r="M21" i="18"/>
  <c r="L22" i="14"/>
  <c r="B48" i="11"/>
  <c r="C48" i="11" s="1"/>
  <c r="N47" i="11"/>
  <c r="B48" i="14"/>
  <c r="C48" i="14" s="1"/>
  <c r="N47" i="14"/>
  <c r="B48" i="16"/>
  <c r="N47" i="16"/>
  <c r="B48" i="18"/>
  <c r="N47" i="18"/>
  <c r="B49" i="17"/>
  <c r="N48" i="17"/>
  <c r="B48" i="15"/>
  <c r="C48" i="15" s="1"/>
  <c r="N47" i="15"/>
  <c r="H48" i="16"/>
  <c r="H48" i="11"/>
  <c r="H49" i="17"/>
  <c r="H48" i="18"/>
  <c r="H48" i="14"/>
  <c r="H48" i="15"/>
  <c r="J56" i="18"/>
  <c r="J56" i="16"/>
  <c r="J56" i="17"/>
  <c r="J53" i="11"/>
  <c r="J53" i="14"/>
  <c r="J53" i="15"/>
  <c r="R21" i="16" l="1"/>
  <c r="T21" i="16" s="1"/>
  <c r="D22" i="16" s="1"/>
  <c r="S22" i="14"/>
  <c r="O22" i="14"/>
  <c r="Q22" i="14" s="1"/>
  <c r="R22" i="14" s="1"/>
  <c r="E21" i="18"/>
  <c r="F21" i="18" s="1"/>
  <c r="K21" i="18"/>
  <c r="F13" i="36" s="1"/>
  <c r="S21" i="15"/>
  <c r="O21" i="15"/>
  <c r="Q21" i="15" s="1"/>
  <c r="R21" i="15" s="1"/>
  <c r="D22" i="17"/>
  <c r="M22" i="17"/>
  <c r="B49" i="15"/>
  <c r="C49" i="15" s="1"/>
  <c r="N48" i="15"/>
  <c r="B49" i="11"/>
  <c r="C49" i="11" s="1"/>
  <c r="N48" i="11"/>
  <c r="B49" i="14"/>
  <c r="C49" i="14" s="1"/>
  <c r="N48" i="14"/>
  <c r="B49" i="16"/>
  <c r="N48" i="16"/>
  <c r="B49" i="18"/>
  <c r="N48" i="18"/>
  <c r="B50" i="17"/>
  <c r="N49" i="17"/>
  <c r="H49" i="11"/>
  <c r="H50" i="17"/>
  <c r="H49" i="16"/>
  <c r="H49" i="14"/>
  <c r="H49" i="15"/>
  <c r="H49" i="18"/>
  <c r="J57" i="17"/>
  <c r="J57" i="16"/>
  <c r="J57" i="18"/>
  <c r="J54" i="15"/>
  <c r="J54" i="14"/>
  <c r="J54" i="11"/>
  <c r="M22" i="16" l="1"/>
  <c r="T22" i="14"/>
  <c r="D23" i="14" s="1"/>
  <c r="K22" i="17"/>
  <c r="D14" i="36" s="1"/>
  <c r="E22" i="17"/>
  <c r="F22" i="17" s="1"/>
  <c r="O22" i="17" s="1"/>
  <c r="K22" i="16"/>
  <c r="E22" i="16"/>
  <c r="F22" i="16" s="1"/>
  <c r="L21" i="18"/>
  <c r="T21" i="15"/>
  <c r="S21" i="18"/>
  <c r="O21" i="18"/>
  <c r="Q21" i="18" s="1"/>
  <c r="G13" i="36" s="1"/>
  <c r="B50" i="15"/>
  <c r="C50" i="15" s="1"/>
  <c r="N49" i="15"/>
  <c r="B50" i="11"/>
  <c r="C50" i="11" s="1"/>
  <c r="N49" i="11"/>
  <c r="B50" i="14"/>
  <c r="C50" i="14" s="1"/>
  <c r="N49" i="14"/>
  <c r="B50" i="16"/>
  <c r="N49" i="16"/>
  <c r="B50" i="18"/>
  <c r="N49" i="18"/>
  <c r="B51" i="17"/>
  <c r="N50" i="17"/>
  <c r="H51" i="17"/>
  <c r="H50" i="16"/>
  <c r="H50" i="11"/>
  <c r="H50" i="15"/>
  <c r="H50" i="18"/>
  <c r="H50" i="14"/>
  <c r="J58" i="18"/>
  <c r="J58" i="17"/>
  <c r="J58" i="16"/>
  <c r="J55" i="11"/>
  <c r="J55" i="14"/>
  <c r="J55" i="15"/>
  <c r="E23" i="14" l="1"/>
  <c r="F23" i="14" s="1"/>
  <c r="K23" i="14"/>
  <c r="L23" i="14" s="1"/>
  <c r="M23" i="14"/>
  <c r="O22" i="16"/>
  <c r="Q22" i="16" s="1"/>
  <c r="R21" i="18"/>
  <c r="T21" i="18" s="1"/>
  <c r="D22" i="15"/>
  <c r="M22" i="15"/>
  <c r="S22" i="16"/>
  <c r="L22" i="16"/>
  <c r="S22" i="17"/>
  <c r="L22" i="17"/>
  <c r="Q22" i="17"/>
  <c r="B51" i="11"/>
  <c r="C51" i="11" s="1"/>
  <c r="N50" i="11"/>
  <c r="B51" i="15"/>
  <c r="C51" i="15" s="1"/>
  <c r="N50" i="15"/>
  <c r="B51" i="14"/>
  <c r="C51" i="14" s="1"/>
  <c r="N50" i="14"/>
  <c r="B51" i="16"/>
  <c r="N50" i="16"/>
  <c r="B51" i="18"/>
  <c r="N50" i="18"/>
  <c r="B52" i="17"/>
  <c r="N51" i="17"/>
  <c r="H52" i="17"/>
  <c r="H51" i="16"/>
  <c r="H51" i="11"/>
  <c r="H51" i="18"/>
  <c r="H51" i="14"/>
  <c r="H51" i="15"/>
  <c r="J59" i="17"/>
  <c r="J59" i="16"/>
  <c r="J59" i="18"/>
  <c r="J56" i="15"/>
  <c r="J56" i="14"/>
  <c r="J56" i="11"/>
  <c r="R22" i="16" l="1"/>
  <c r="T22" i="16" s="1"/>
  <c r="R22" i="17"/>
  <c r="T22" i="17" s="1"/>
  <c r="E14" i="36"/>
  <c r="S23" i="14"/>
  <c r="O23" i="14"/>
  <c r="Q23" i="14" s="1"/>
  <c r="K22" i="15"/>
  <c r="E22" i="15"/>
  <c r="F22" i="15" s="1"/>
  <c r="O22" i="15" s="1"/>
  <c r="D22" i="18"/>
  <c r="M22" i="18"/>
  <c r="B52" i="11"/>
  <c r="C52" i="11" s="1"/>
  <c r="N51" i="11"/>
  <c r="B52" i="18"/>
  <c r="N51" i="18"/>
  <c r="B52" i="15"/>
  <c r="C52" i="15" s="1"/>
  <c r="N51" i="15"/>
  <c r="B52" i="16"/>
  <c r="N51" i="16"/>
  <c r="B52" i="14"/>
  <c r="C52" i="14" s="1"/>
  <c r="N51" i="14"/>
  <c r="B53" i="17"/>
  <c r="N52" i="17"/>
  <c r="H52" i="16"/>
  <c r="H52" i="11"/>
  <c r="H53" i="17"/>
  <c r="H52" i="14"/>
  <c r="H52" i="15"/>
  <c r="H52" i="18"/>
  <c r="J60" i="16"/>
  <c r="J61" i="16" s="1"/>
  <c r="J60" i="18"/>
  <c r="J61" i="18" s="1"/>
  <c r="J62" i="18" s="1"/>
  <c r="J63" i="18" s="1"/>
  <c r="J64" i="18" s="1"/>
  <c r="J60" i="17"/>
  <c r="J61" i="17" s="1"/>
  <c r="J62" i="17" s="1"/>
  <c r="J63" i="17" s="1"/>
  <c r="J64" i="17" s="1"/>
  <c r="J57" i="11"/>
  <c r="J57" i="14"/>
  <c r="J57" i="15"/>
  <c r="J65" i="18" l="1"/>
  <c r="J65" i="17"/>
  <c r="J62" i="16"/>
  <c r="J63" i="16" s="1"/>
  <c r="J64" i="16" s="1"/>
  <c r="R23" i="14"/>
  <c r="T23" i="14" s="1"/>
  <c r="D23" i="16"/>
  <c r="M23" i="16"/>
  <c r="D23" i="17"/>
  <c r="E23" i="17" s="1"/>
  <c r="F23" i="17" s="1"/>
  <c r="M23" i="17"/>
  <c r="K22" i="18"/>
  <c r="F14" i="36" s="1"/>
  <c r="E22" i="18"/>
  <c r="F22" i="18" s="1"/>
  <c r="O22" i="18" s="1"/>
  <c r="S22" i="15"/>
  <c r="L22" i="15"/>
  <c r="Q22" i="15"/>
  <c r="R22" i="15" s="1"/>
  <c r="B54" i="17"/>
  <c r="N53" i="17"/>
  <c r="B53" i="15"/>
  <c r="C53" i="15" s="1"/>
  <c r="N52" i="15"/>
  <c r="B53" i="16"/>
  <c r="N52" i="16"/>
  <c r="B53" i="14"/>
  <c r="C53" i="14" s="1"/>
  <c r="N52" i="14"/>
  <c r="B53" i="18"/>
  <c r="N52" i="18"/>
  <c r="B53" i="11"/>
  <c r="C53" i="11" s="1"/>
  <c r="N52" i="11"/>
  <c r="H53" i="11"/>
  <c r="H54" i="17"/>
  <c r="H53" i="16"/>
  <c r="H53" i="15"/>
  <c r="H53" i="18"/>
  <c r="H53" i="14"/>
  <c r="J58" i="15"/>
  <c r="J58" i="14"/>
  <c r="J58" i="11"/>
  <c r="J66" i="17" l="1"/>
  <c r="J65" i="16"/>
  <c r="J66" i="18"/>
  <c r="K23" i="17"/>
  <c r="D24" i="14"/>
  <c r="M24" i="14"/>
  <c r="S23" i="17"/>
  <c r="O23" i="17"/>
  <c r="E23" i="16"/>
  <c r="F23" i="16" s="1"/>
  <c r="K23" i="16"/>
  <c r="T22" i="15"/>
  <c r="S22" i="18"/>
  <c r="L22" i="18"/>
  <c r="Q22" i="18"/>
  <c r="B54" i="15"/>
  <c r="C54" i="15" s="1"/>
  <c r="N53" i="15"/>
  <c r="B54" i="16"/>
  <c r="N53" i="16"/>
  <c r="B54" i="14"/>
  <c r="C54" i="14" s="1"/>
  <c r="N53" i="14"/>
  <c r="B55" i="17"/>
  <c r="N54" i="17"/>
  <c r="B54" i="18"/>
  <c r="N53" i="18"/>
  <c r="B54" i="11"/>
  <c r="C54" i="11" s="1"/>
  <c r="N53" i="11"/>
  <c r="H54" i="16"/>
  <c r="H54" i="11"/>
  <c r="H55" i="17"/>
  <c r="H54" i="18"/>
  <c r="H54" i="14"/>
  <c r="H54" i="15"/>
  <c r="J59" i="14"/>
  <c r="J59" i="11"/>
  <c r="J59" i="15"/>
  <c r="J67" i="18" l="1"/>
  <c r="J66" i="16"/>
  <c r="J67" i="17"/>
  <c r="R22" i="18"/>
  <c r="T22" i="18" s="1"/>
  <c r="G14" i="36"/>
  <c r="L23" i="17"/>
  <c r="D15" i="36"/>
  <c r="Q23" i="17"/>
  <c r="S23" i="16"/>
  <c r="O23" i="16"/>
  <c r="Q23" i="16" s="1"/>
  <c r="E24" i="14"/>
  <c r="F24" i="14" s="1"/>
  <c r="K24" i="14"/>
  <c r="D23" i="15"/>
  <c r="E23" i="15" s="1"/>
  <c r="F23" i="15" s="1"/>
  <c r="M23" i="15"/>
  <c r="L23" i="16"/>
  <c r="B55" i="14"/>
  <c r="C55" i="14" s="1"/>
  <c r="N54" i="14"/>
  <c r="B55" i="16"/>
  <c r="N54" i="16"/>
  <c r="B55" i="18"/>
  <c r="N54" i="18"/>
  <c r="B56" i="17"/>
  <c r="N55" i="17"/>
  <c r="B55" i="15"/>
  <c r="C55" i="15" s="1"/>
  <c r="N54" i="15"/>
  <c r="B55" i="11"/>
  <c r="C55" i="11" s="1"/>
  <c r="N54" i="11"/>
  <c r="H55" i="11"/>
  <c r="H56" i="17"/>
  <c r="H55" i="16"/>
  <c r="H55" i="14"/>
  <c r="H55" i="15"/>
  <c r="H55" i="18"/>
  <c r="J60" i="15"/>
  <c r="J61" i="15" s="1"/>
  <c r="J62" i="15" s="1"/>
  <c r="J60" i="11"/>
  <c r="J61" i="11" s="1"/>
  <c r="J62" i="11" s="1"/>
  <c r="J63" i="11" s="1"/>
  <c r="J64" i="11" s="1"/>
  <c r="J60" i="14"/>
  <c r="J61" i="14" s="1"/>
  <c r="J62" i="14" s="1"/>
  <c r="J63" i="14" s="1"/>
  <c r="J64" i="14" s="1"/>
  <c r="J68" i="17" l="1"/>
  <c r="J67" i="16"/>
  <c r="J63" i="15"/>
  <c r="J64" i="15" s="1"/>
  <c r="J65" i="15" s="1"/>
  <c r="J66" i="15" s="1"/>
  <c r="J67" i="15" s="1"/>
  <c r="J68" i="15" s="1"/>
  <c r="J69" i="15" s="1"/>
  <c r="J70" i="15" s="1"/>
  <c r="J65" i="14"/>
  <c r="J65" i="11"/>
  <c r="J68" i="18"/>
  <c r="R23" i="17"/>
  <c r="T23" i="17" s="1"/>
  <c r="D24" i="17" s="1"/>
  <c r="E15" i="36"/>
  <c r="K23" i="15"/>
  <c r="L23" i="15" s="1"/>
  <c r="R23" i="16"/>
  <c r="T23" i="16" s="1"/>
  <c r="S23" i="15"/>
  <c r="O23" i="15"/>
  <c r="L24" i="14"/>
  <c r="S24" i="14"/>
  <c r="O24" i="14"/>
  <c r="Q24" i="14" s="1"/>
  <c r="M23" i="18"/>
  <c r="D23" i="18"/>
  <c r="B56" i="15"/>
  <c r="C56" i="15" s="1"/>
  <c r="N55" i="15"/>
  <c r="B56" i="16"/>
  <c r="N55" i="16"/>
  <c r="B56" i="18"/>
  <c r="N55" i="18"/>
  <c r="B57" i="17"/>
  <c r="N56" i="17"/>
  <c r="B56" i="11"/>
  <c r="C56" i="11" s="1"/>
  <c r="N55" i="11"/>
  <c r="B56" i="14"/>
  <c r="C56" i="14" s="1"/>
  <c r="N55" i="14"/>
  <c r="H57" i="17"/>
  <c r="H56" i="16"/>
  <c r="H56" i="11"/>
  <c r="H56" i="15"/>
  <c r="H56" i="18"/>
  <c r="H56" i="14"/>
  <c r="J66" i="11" l="1"/>
  <c r="J68" i="16"/>
  <c r="J69" i="18"/>
  <c r="J66" i="14"/>
  <c r="J69" i="17"/>
  <c r="M24" i="17"/>
  <c r="Q23" i="15"/>
  <c r="R23" i="15" s="1"/>
  <c r="R24" i="14"/>
  <c r="T24" i="14" s="1"/>
  <c r="D24" i="16"/>
  <c r="M24" i="16"/>
  <c r="E24" i="17"/>
  <c r="F24" i="17" s="1"/>
  <c r="K24" i="17"/>
  <c r="K23" i="18"/>
  <c r="F15" i="36" s="1"/>
  <c r="E23" i="18"/>
  <c r="F23" i="18" s="1"/>
  <c r="B57" i="18"/>
  <c r="N56" i="18"/>
  <c r="B58" i="17"/>
  <c r="N57" i="17"/>
  <c r="B57" i="15"/>
  <c r="C57" i="15" s="1"/>
  <c r="N56" i="15"/>
  <c r="B57" i="11"/>
  <c r="C57" i="11" s="1"/>
  <c r="N56" i="11"/>
  <c r="B57" i="14"/>
  <c r="C57" i="14" s="1"/>
  <c r="N56" i="14"/>
  <c r="B57" i="16"/>
  <c r="N56" i="16"/>
  <c r="H57" i="16"/>
  <c r="H57" i="11"/>
  <c r="H58" i="17"/>
  <c r="H57" i="14"/>
  <c r="H57" i="15"/>
  <c r="H57" i="18"/>
  <c r="J70" i="18" l="1"/>
  <c r="J69" i="16"/>
  <c r="J70" i="17"/>
  <c r="J67" i="14"/>
  <c r="J67" i="11"/>
  <c r="L24" i="17"/>
  <c r="D16" i="36"/>
  <c r="T23" i="15"/>
  <c r="D24" i="15" s="1"/>
  <c r="M25" i="14"/>
  <c r="D25" i="14"/>
  <c r="O23" i="18"/>
  <c r="Q23" i="18" s="1"/>
  <c r="G15" i="36" s="1"/>
  <c r="O24" i="17"/>
  <c r="Q24" i="17" s="1"/>
  <c r="S24" i="17"/>
  <c r="K24" i="16"/>
  <c r="E24" i="16"/>
  <c r="F24" i="16" s="1"/>
  <c r="S23" i="18"/>
  <c r="L23" i="18"/>
  <c r="B58" i="14"/>
  <c r="C58" i="14" s="1"/>
  <c r="N57" i="14"/>
  <c r="B58" i="18"/>
  <c r="N57" i="18"/>
  <c r="B58" i="11"/>
  <c r="C58" i="11" s="1"/>
  <c r="N57" i="11"/>
  <c r="B58" i="15"/>
  <c r="C58" i="15" s="1"/>
  <c r="N57" i="15"/>
  <c r="B58" i="16"/>
  <c r="N57" i="16"/>
  <c r="B59" i="17"/>
  <c r="N58" i="17"/>
  <c r="H58" i="11"/>
  <c r="H59" i="17"/>
  <c r="H58" i="16"/>
  <c r="H58" i="15"/>
  <c r="H58" i="18"/>
  <c r="H58" i="14"/>
  <c r="J68" i="11" l="1"/>
  <c r="J70" i="16"/>
  <c r="J68" i="14"/>
  <c r="R24" i="17"/>
  <c r="T24" i="17" s="1"/>
  <c r="D25" i="17" s="1"/>
  <c r="E16" i="36"/>
  <c r="M24" i="15"/>
  <c r="E25" i="14"/>
  <c r="F25" i="14" s="1"/>
  <c r="K25" i="14"/>
  <c r="O24" i="16"/>
  <c r="Q24" i="16" s="1"/>
  <c r="S24" i="16"/>
  <c r="R23" i="18"/>
  <c r="T23" i="18" s="1"/>
  <c r="L24" i="16"/>
  <c r="K24" i="15"/>
  <c r="E24" i="15"/>
  <c r="F24" i="15" s="1"/>
  <c r="B60" i="17"/>
  <c r="N59" i="17"/>
  <c r="B59" i="18"/>
  <c r="N58" i="18"/>
  <c r="B59" i="15"/>
  <c r="C59" i="15" s="1"/>
  <c r="N58" i="15"/>
  <c r="B59" i="16"/>
  <c r="N58" i="16"/>
  <c r="B59" i="14"/>
  <c r="C59" i="14" s="1"/>
  <c r="N58" i="14"/>
  <c r="B59" i="11"/>
  <c r="C59" i="11" s="1"/>
  <c r="N58" i="11"/>
  <c r="H60" i="17"/>
  <c r="H59" i="16"/>
  <c r="H59" i="11"/>
  <c r="H59" i="18"/>
  <c r="H59" i="14"/>
  <c r="H59" i="15"/>
  <c r="T12" i="11"/>
  <c r="D13" i="11" s="1"/>
  <c r="J69" i="14" l="1"/>
  <c r="N60" i="17"/>
  <c r="M6" i="17" s="1"/>
  <c r="B61" i="17"/>
  <c r="H61" i="17"/>
  <c r="J69" i="11"/>
  <c r="R24" i="16"/>
  <c r="T24" i="16" s="1"/>
  <c r="M25" i="17"/>
  <c r="S25" i="14"/>
  <c r="O25" i="14"/>
  <c r="Q25" i="14" s="1"/>
  <c r="L24" i="15"/>
  <c r="D24" i="18"/>
  <c r="M24" i="18"/>
  <c r="K25" i="17"/>
  <c r="D17" i="36" s="1"/>
  <c r="E25" i="17"/>
  <c r="F25" i="17" s="1"/>
  <c r="O24" i="15"/>
  <c r="Q24" i="15" s="1"/>
  <c r="R24" i="15" s="1"/>
  <c r="S24" i="15"/>
  <c r="L25" i="14"/>
  <c r="B60" i="14"/>
  <c r="C60" i="14" s="1"/>
  <c r="N59" i="14"/>
  <c r="B60" i="18"/>
  <c r="N59" i="18"/>
  <c r="B60" i="11"/>
  <c r="C60" i="11" s="1"/>
  <c r="N59" i="11"/>
  <c r="B60" i="15"/>
  <c r="C60" i="15" s="1"/>
  <c r="N59" i="15"/>
  <c r="B60" i="16"/>
  <c r="N59" i="16"/>
  <c r="K13" i="11"/>
  <c r="H60" i="16"/>
  <c r="H60" i="11"/>
  <c r="H60" i="14"/>
  <c r="H60" i="15"/>
  <c r="H60" i="18"/>
  <c r="M13" i="11"/>
  <c r="B62" i="17" l="1"/>
  <c r="N61" i="17"/>
  <c r="H62" i="17"/>
  <c r="N60" i="18"/>
  <c r="M6" i="18" s="1"/>
  <c r="B61" i="18"/>
  <c r="H61" i="18"/>
  <c r="J70" i="11"/>
  <c r="N60" i="15"/>
  <c r="M6" i="15" s="1"/>
  <c r="B61" i="15"/>
  <c r="C61" i="15" s="1"/>
  <c r="H61" i="15"/>
  <c r="N60" i="14"/>
  <c r="M6" i="14" s="1"/>
  <c r="B61" i="14"/>
  <c r="C61" i="14" s="1"/>
  <c r="H61" i="14"/>
  <c r="N60" i="11"/>
  <c r="M6" i="11" s="1"/>
  <c r="B61" i="11"/>
  <c r="C61" i="11" s="1"/>
  <c r="H61" i="11"/>
  <c r="N60" i="16"/>
  <c r="M6" i="16" s="1"/>
  <c r="B61" i="16"/>
  <c r="H61" i="16"/>
  <c r="J70" i="14"/>
  <c r="L13" i="11"/>
  <c r="B5" i="36"/>
  <c r="S25" i="17"/>
  <c r="O25" i="17"/>
  <c r="Q25" i="17" s="1"/>
  <c r="R25" i="14"/>
  <c r="T25" i="14" s="1"/>
  <c r="D25" i="16"/>
  <c r="M25" i="16"/>
  <c r="L25" i="17"/>
  <c r="T24" i="15"/>
  <c r="K24" i="18"/>
  <c r="E24" i="18"/>
  <c r="F24" i="18" s="1"/>
  <c r="E13" i="11"/>
  <c r="F13" i="11" s="1"/>
  <c r="N61" i="18" l="1"/>
  <c r="B62" i="18"/>
  <c r="H62" i="18"/>
  <c r="N61" i="16"/>
  <c r="H62" i="16"/>
  <c r="B62" i="16"/>
  <c r="N61" i="15"/>
  <c r="H62" i="15"/>
  <c r="B62" i="15"/>
  <c r="C62" i="15" s="1"/>
  <c r="N62" i="17"/>
  <c r="B63" i="17"/>
  <c r="H63" i="17"/>
  <c r="H64" i="17" s="1"/>
  <c r="B62" i="14"/>
  <c r="C62" i="14" s="1"/>
  <c r="N61" i="14"/>
  <c r="H62" i="14"/>
  <c r="B62" i="11"/>
  <c r="C62" i="11" s="1"/>
  <c r="N61" i="11"/>
  <c r="H62" i="11"/>
  <c r="L24" i="18"/>
  <c r="F16" i="36"/>
  <c r="R25" i="17"/>
  <c r="T25" i="17" s="1"/>
  <c r="E17" i="36"/>
  <c r="D26" i="14"/>
  <c r="M26" i="14"/>
  <c r="O24" i="18"/>
  <c r="Q24" i="18" s="1"/>
  <c r="G16" i="36" s="1"/>
  <c r="S24" i="18"/>
  <c r="M25" i="15"/>
  <c r="D25" i="15"/>
  <c r="E25" i="16"/>
  <c r="F25" i="16" s="1"/>
  <c r="K25" i="16"/>
  <c r="S13" i="11"/>
  <c r="O13" i="11"/>
  <c r="Q13" i="11" s="1"/>
  <c r="H65" i="17" l="1"/>
  <c r="B65" i="17"/>
  <c r="N64" i="17"/>
  <c r="N62" i="14"/>
  <c r="H63" i="14"/>
  <c r="H64" i="14" s="1"/>
  <c r="B63" i="14"/>
  <c r="C63" i="14" s="1"/>
  <c r="B63" i="16"/>
  <c r="N62" i="16"/>
  <c r="H63" i="16"/>
  <c r="H64" i="16" s="1"/>
  <c r="B64" i="17"/>
  <c r="N63" i="17"/>
  <c r="N62" i="15"/>
  <c r="H63" i="15"/>
  <c r="H64" i="15" s="1"/>
  <c r="B63" i="15"/>
  <c r="C63" i="15" s="1"/>
  <c r="B63" i="18"/>
  <c r="N62" i="18"/>
  <c r="H63" i="18"/>
  <c r="H64" i="18" s="1"/>
  <c r="B63" i="11"/>
  <c r="C63" i="11" s="1"/>
  <c r="N62" i="11"/>
  <c r="H63" i="11"/>
  <c r="H64" i="11" s="1"/>
  <c r="R13" i="11"/>
  <c r="T13" i="11" s="1"/>
  <c r="M14" i="11" s="1"/>
  <c r="C5" i="36"/>
  <c r="S25" i="16"/>
  <c r="O25" i="16"/>
  <c r="Q25" i="16" s="1"/>
  <c r="D26" i="17"/>
  <c r="M26" i="17"/>
  <c r="E26" i="14"/>
  <c r="F26" i="14" s="1"/>
  <c r="K26" i="14"/>
  <c r="L25" i="16"/>
  <c r="R24" i="18"/>
  <c r="T24" i="18" s="1"/>
  <c r="E25" i="15"/>
  <c r="F25" i="15" s="1"/>
  <c r="K25" i="15"/>
  <c r="H65" i="14" l="1"/>
  <c r="N64" i="14"/>
  <c r="B65" i="14"/>
  <c r="C65" i="14" s="1"/>
  <c r="H65" i="11"/>
  <c r="B65" i="11"/>
  <c r="C65" i="11" s="1"/>
  <c r="N64" i="11"/>
  <c r="H65" i="15"/>
  <c r="B65" i="15"/>
  <c r="C65" i="15" s="1"/>
  <c r="N64" i="15"/>
  <c r="H65" i="18"/>
  <c r="N64" i="18"/>
  <c r="B65" i="18"/>
  <c r="H65" i="16"/>
  <c r="N64" i="16"/>
  <c r="B65" i="16"/>
  <c r="H66" i="17"/>
  <c r="N65" i="17"/>
  <c r="B66" i="17"/>
  <c r="N63" i="18"/>
  <c r="B64" i="18"/>
  <c r="B64" i="16"/>
  <c r="N63" i="16"/>
  <c r="N63" i="14"/>
  <c r="B64" i="14"/>
  <c r="C64" i="14" s="1"/>
  <c r="N63" i="15"/>
  <c r="B64" i="15"/>
  <c r="C64" i="15" s="1"/>
  <c r="B64" i="11"/>
  <c r="C64" i="11" s="1"/>
  <c r="N63" i="11"/>
  <c r="R25" i="16"/>
  <c r="T25" i="16" s="1"/>
  <c r="S26" i="14"/>
  <c r="O26" i="14"/>
  <c r="Q26" i="14" s="1"/>
  <c r="R26" i="14" s="1"/>
  <c r="S25" i="15"/>
  <c r="O25" i="15"/>
  <c r="Q25" i="15" s="1"/>
  <c r="E26" i="17"/>
  <c r="F26" i="17" s="1"/>
  <c r="K26" i="17"/>
  <c r="D18" i="36" s="1"/>
  <c r="L26" i="14"/>
  <c r="M25" i="18"/>
  <c r="D25" i="18"/>
  <c r="L25" i="15"/>
  <c r="D14" i="11"/>
  <c r="H66" i="15" l="1"/>
  <c r="B66" i="15"/>
  <c r="C66" i="15" s="1"/>
  <c r="N65" i="15"/>
  <c r="H66" i="16"/>
  <c r="N65" i="16"/>
  <c r="B66" i="16"/>
  <c r="H66" i="11"/>
  <c r="N65" i="11"/>
  <c r="B66" i="11"/>
  <c r="C66" i="11" s="1"/>
  <c r="H67" i="17"/>
  <c r="N66" i="17"/>
  <c r="B67" i="17"/>
  <c r="H66" i="18"/>
  <c r="N65" i="18"/>
  <c r="B66" i="18"/>
  <c r="H66" i="14"/>
  <c r="N65" i="14"/>
  <c r="B66" i="14"/>
  <c r="C66" i="14" s="1"/>
  <c r="S26" i="17"/>
  <c r="O26" i="17"/>
  <c r="Q26" i="17" s="1"/>
  <c r="E18" i="36" s="1"/>
  <c r="T26" i="14"/>
  <c r="R25" i="15"/>
  <c r="T25" i="15" s="1"/>
  <c r="L26" i="17"/>
  <c r="D26" i="16"/>
  <c r="M26" i="16"/>
  <c r="E25" i="18"/>
  <c r="F25" i="18" s="1"/>
  <c r="K25" i="18"/>
  <c r="F17" i="36" s="1"/>
  <c r="K14" i="11"/>
  <c r="E14" i="11"/>
  <c r="F14" i="11" s="1"/>
  <c r="H67" i="18" l="1"/>
  <c r="B67" i="18"/>
  <c r="N66" i="18"/>
  <c r="H67" i="14"/>
  <c r="B67" i="14"/>
  <c r="C67" i="14" s="1"/>
  <c r="N66" i="14"/>
  <c r="H67" i="16"/>
  <c r="N66" i="16"/>
  <c r="B67" i="16"/>
  <c r="H68" i="17"/>
  <c r="N67" i="17"/>
  <c r="B68" i="17"/>
  <c r="H67" i="11"/>
  <c r="B67" i="11"/>
  <c r="C67" i="11" s="1"/>
  <c r="N66" i="11"/>
  <c r="H67" i="15"/>
  <c r="B67" i="15"/>
  <c r="C67" i="15" s="1"/>
  <c r="N66" i="15"/>
  <c r="L14" i="11"/>
  <c r="B6" i="36"/>
  <c r="D27" i="14"/>
  <c r="K27" i="14" s="1"/>
  <c r="M27" i="14"/>
  <c r="M28" i="14" s="1"/>
  <c r="D26" i="15"/>
  <c r="M26" i="15"/>
  <c r="S25" i="18"/>
  <c r="O25" i="18"/>
  <c r="Q25" i="18" s="1"/>
  <c r="G17" i="36" s="1"/>
  <c r="R26" i="17"/>
  <c r="T26" i="17" s="1"/>
  <c r="K26" i="16"/>
  <c r="E26" i="16"/>
  <c r="F26" i="16" s="1"/>
  <c r="L25" i="18"/>
  <c r="S14" i="11"/>
  <c r="O14" i="11"/>
  <c r="Q14" i="11" s="1"/>
  <c r="H68" i="11" l="1"/>
  <c r="N67" i="11"/>
  <c r="B68" i="11"/>
  <c r="C68" i="11" s="1"/>
  <c r="H68" i="16"/>
  <c r="N67" i="16"/>
  <c r="B68" i="16"/>
  <c r="H68" i="14"/>
  <c r="N67" i="14"/>
  <c r="B68" i="14"/>
  <c r="C68" i="14" s="1"/>
  <c r="B68" i="15"/>
  <c r="C68" i="15" s="1"/>
  <c r="N67" i="15"/>
  <c r="H68" i="15"/>
  <c r="H69" i="17"/>
  <c r="N68" i="17"/>
  <c r="B69" i="17"/>
  <c r="H68" i="18"/>
  <c r="N67" i="18"/>
  <c r="B68" i="18"/>
  <c r="R14" i="11"/>
  <c r="T14" i="11" s="1"/>
  <c r="M15" i="11" s="1"/>
  <c r="C6" i="36"/>
  <c r="D27" i="17"/>
  <c r="E27" i="17" s="1"/>
  <c r="F27" i="17" s="1"/>
  <c r="S27" i="17" s="1"/>
  <c r="M27" i="17"/>
  <c r="M28" i="17" s="1"/>
  <c r="S26" i="16"/>
  <c r="O26" i="16"/>
  <c r="Q26" i="16" s="1"/>
  <c r="E27" i="14"/>
  <c r="F27" i="14" s="1"/>
  <c r="S27" i="14" s="1"/>
  <c r="L27" i="14"/>
  <c r="Q27" i="14"/>
  <c r="R25" i="18"/>
  <c r="T25" i="18" s="1"/>
  <c r="L26" i="16"/>
  <c r="E26" i="15"/>
  <c r="F26" i="15" s="1"/>
  <c r="K26" i="15"/>
  <c r="H69" i="18" l="1"/>
  <c r="B69" i="18"/>
  <c r="N68" i="18"/>
  <c r="H70" i="17"/>
  <c r="N70" i="17" s="1"/>
  <c r="N69" i="17"/>
  <c r="B70" i="17"/>
  <c r="H69" i="14"/>
  <c r="N68" i="14"/>
  <c r="B69" i="14"/>
  <c r="C69" i="14" s="1"/>
  <c r="N68" i="15"/>
  <c r="B69" i="15"/>
  <c r="C69" i="15" s="1"/>
  <c r="H69" i="15"/>
  <c r="H69" i="16"/>
  <c r="N68" i="16"/>
  <c r="B69" i="16"/>
  <c r="H69" i="11"/>
  <c r="B69" i="11"/>
  <c r="C69" i="11" s="1"/>
  <c r="N68" i="11"/>
  <c r="K27" i="17"/>
  <c r="T27" i="14"/>
  <c r="D28" i="14" s="1"/>
  <c r="K28" i="14" s="1"/>
  <c r="L28" i="14" s="1"/>
  <c r="S26" i="15"/>
  <c r="O26" i="15"/>
  <c r="Q26" i="15" s="1"/>
  <c r="M26" i="18"/>
  <c r="D26" i="18"/>
  <c r="L26" i="15"/>
  <c r="R26" i="16"/>
  <c r="T26" i="16" s="1"/>
  <c r="D15" i="11"/>
  <c r="H70" i="14" l="1"/>
  <c r="N70" i="14" s="1"/>
  <c r="B70" i="14"/>
  <c r="C70" i="14" s="1"/>
  <c r="N69" i="14"/>
  <c r="H70" i="16"/>
  <c r="N70" i="16" s="1"/>
  <c r="N69" i="16"/>
  <c r="B70" i="16"/>
  <c r="H70" i="11"/>
  <c r="N70" i="11" s="1"/>
  <c r="B70" i="11"/>
  <c r="C70" i="11" s="1"/>
  <c r="N69" i="11"/>
  <c r="B70" i="15"/>
  <c r="C70" i="15" s="1"/>
  <c r="N69" i="15"/>
  <c r="H70" i="15"/>
  <c r="N70" i="15" s="1"/>
  <c r="H70" i="18"/>
  <c r="N70" i="18" s="1"/>
  <c r="B70" i="18"/>
  <c r="N69" i="18"/>
  <c r="L27" i="17"/>
  <c r="D19" i="36"/>
  <c r="Q27" i="17"/>
  <c r="E28" i="14"/>
  <c r="F28" i="14" s="1"/>
  <c r="S28" i="14" s="1"/>
  <c r="R26" i="15"/>
  <c r="T26" i="15" s="1"/>
  <c r="D27" i="16"/>
  <c r="E27" i="16" s="1"/>
  <c r="F27" i="16" s="1"/>
  <c r="M27" i="16"/>
  <c r="M28" i="16" s="1"/>
  <c r="E26" i="18"/>
  <c r="F26" i="18" s="1"/>
  <c r="O26" i="18" s="1"/>
  <c r="K26" i="18"/>
  <c r="F18" i="36" s="1"/>
  <c r="E15" i="11"/>
  <c r="F15" i="11" s="1"/>
  <c r="K15" i="11"/>
  <c r="L15" i="11" l="1"/>
  <c r="B7" i="36"/>
  <c r="T27" i="17"/>
  <c r="D28" i="17" s="1"/>
  <c r="K28" i="17" s="1"/>
  <c r="E19" i="36"/>
  <c r="O28" i="14"/>
  <c r="Q28" i="14" s="1"/>
  <c r="R28" i="14" s="1"/>
  <c r="T28" i="14" s="1"/>
  <c r="K27" i="16"/>
  <c r="M27" i="15"/>
  <c r="M28" i="15" s="1"/>
  <c r="D27" i="15"/>
  <c r="K27" i="15" s="1"/>
  <c r="Q26" i="18"/>
  <c r="L26" i="18"/>
  <c r="S26" i="18"/>
  <c r="S27" i="16"/>
  <c r="S15" i="11"/>
  <c r="O15" i="11"/>
  <c r="Q15" i="11" s="1"/>
  <c r="C7" i="36" s="1"/>
  <c r="R26" i="18" l="1"/>
  <c r="T26" i="18" s="1"/>
  <c r="G18" i="36"/>
  <c r="Q27" i="16"/>
  <c r="E28" i="17"/>
  <c r="F28" i="17" s="1"/>
  <c r="S28" i="17" s="1"/>
  <c r="L28" i="17"/>
  <c r="D20" i="36"/>
  <c r="L27" i="16"/>
  <c r="E27" i="15"/>
  <c r="F27" i="15" s="1"/>
  <c r="S27" i="15" s="1"/>
  <c r="D29" i="14"/>
  <c r="M29" i="14"/>
  <c r="M30" i="14" s="1"/>
  <c r="Q27" i="15"/>
  <c r="L27" i="15"/>
  <c r="R15" i="11"/>
  <c r="T15" i="11" s="1"/>
  <c r="O28" i="17" l="1"/>
  <c r="Q28" i="17" s="1"/>
  <c r="R28" i="17" s="1"/>
  <c r="T28" i="17" s="1"/>
  <c r="D29" i="17" s="1"/>
  <c r="K29" i="17" s="1"/>
  <c r="T27" i="16"/>
  <c r="D28" i="16" s="1"/>
  <c r="K28" i="16" s="1"/>
  <c r="T27" i="15"/>
  <c r="D28" i="15" s="1"/>
  <c r="K28" i="15" s="1"/>
  <c r="L28" i="15" s="1"/>
  <c r="E29" i="14"/>
  <c r="F29" i="14" s="1"/>
  <c r="S29" i="14" s="1"/>
  <c r="K29" i="14"/>
  <c r="M27" i="18"/>
  <c r="M28" i="18" s="1"/>
  <c r="D27" i="18"/>
  <c r="M16" i="11"/>
  <c r="D16" i="11"/>
  <c r="E16" i="11" s="1"/>
  <c r="F16" i="11" s="1"/>
  <c r="E20" i="36" l="1"/>
  <c r="E28" i="16"/>
  <c r="F28" i="16" s="1"/>
  <c r="S28" i="16" s="1"/>
  <c r="L28" i="16"/>
  <c r="L29" i="17"/>
  <c r="D21" i="36"/>
  <c r="M29" i="17"/>
  <c r="M30" i="17" s="1"/>
  <c r="Q29" i="17"/>
  <c r="E21" i="36" s="1"/>
  <c r="E29" i="17"/>
  <c r="F29" i="17" s="1"/>
  <c r="S29" i="17" s="1"/>
  <c r="E28" i="15"/>
  <c r="F28" i="15" s="1"/>
  <c r="O28" i="15" s="1"/>
  <c r="Q28" i="15" s="1"/>
  <c r="R28" i="15" s="1"/>
  <c r="L29" i="14"/>
  <c r="Q29" i="14"/>
  <c r="T29" i="14" s="1"/>
  <c r="D30" i="14" s="1"/>
  <c r="E27" i="18"/>
  <c r="F27" i="18" s="1"/>
  <c r="S27" i="18" s="1"/>
  <c r="K27" i="18"/>
  <c r="F19" i="36" s="1"/>
  <c r="K16" i="11"/>
  <c r="S16" i="11"/>
  <c r="O16" i="11"/>
  <c r="O28" i="16" l="1"/>
  <c r="Q28" i="16" s="1"/>
  <c r="R28" i="16" s="1"/>
  <c r="L16" i="11"/>
  <c r="B8" i="36"/>
  <c r="T29" i="17"/>
  <c r="D30" i="17" s="1"/>
  <c r="E30" i="17" s="1"/>
  <c r="F30" i="17" s="1"/>
  <c r="S30" i="17" s="1"/>
  <c r="S28" i="15"/>
  <c r="T28" i="15" s="1"/>
  <c r="O30" i="17"/>
  <c r="K30" i="14"/>
  <c r="E30" i="14"/>
  <c r="F30" i="14" s="1"/>
  <c r="Q27" i="18"/>
  <c r="L27" i="18"/>
  <c r="Q16" i="11"/>
  <c r="T28" i="16" l="1"/>
  <c r="D29" i="16" s="1"/>
  <c r="K29" i="16" s="1"/>
  <c r="R16" i="11"/>
  <c r="T16" i="11" s="1"/>
  <c r="D17" i="11" s="1"/>
  <c r="E17" i="11" s="1"/>
  <c r="F17" i="11" s="1"/>
  <c r="C8" i="36"/>
  <c r="T27" i="18"/>
  <c r="D28" i="18" s="1"/>
  <c r="E28" i="18" s="1"/>
  <c r="F28" i="18" s="1"/>
  <c r="G19" i="36"/>
  <c r="K30" i="17"/>
  <c r="M29" i="16"/>
  <c r="M30" i="16" s="1"/>
  <c r="O30" i="14"/>
  <c r="Q30" i="14" s="1"/>
  <c r="L30" i="14"/>
  <c r="S30" i="14"/>
  <c r="D29" i="15"/>
  <c r="M29" i="15"/>
  <c r="M30" i="15" s="1"/>
  <c r="M17" i="11"/>
  <c r="E29" i="16" l="1"/>
  <c r="F29" i="16" s="1"/>
  <c r="K28" i="18"/>
  <c r="L28" i="18" s="1"/>
  <c r="L30" i="17"/>
  <c r="D22" i="36"/>
  <c r="Q30" i="17"/>
  <c r="R30" i="14"/>
  <c r="T30" i="14" s="1"/>
  <c r="S29" i="16"/>
  <c r="K29" i="15"/>
  <c r="E29" i="15"/>
  <c r="F29" i="15" s="1"/>
  <c r="Q29" i="16"/>
  <c r="L29" i="16"/>
  <c r="O28" i="18"/>
  <c r="S28" i="18"/>
  <c r="S17" i="11"/>
  <c r="O17" i="11"/>
  <c r="K17" i="11"/>
  <c r="F20" i="36" l="1"/>
  <c r="Q28" i="18"/>
  <c r="R28" i="18" s="1"/>
  <c r="T28" i="18" s="1"/>
  <c r="M29" i="18" s="1"/>
  <c r="M30" i="18" s="1"/>
  <c r="L17" i="11"/>
  <c r="B9" i="36"/>
  <c r="R30" i="17"/>
  <c r="T30" i="17" s="1"/>
  <c r="E22" i="36"/>
  <c r="G20" i="36"/>
  <c r="T29" i="16"/>
  <c r="D30" i="16" s="1"/>
  <c r="E30" i="16" s="1"/>
  <c r="F30" i="16" s="1"/>
  <c r="D31" i="14"/>
  <c r="M31" i="14"/>
  <c r="S29" i="15"/>
  <c r="Q29" i="15"/>
  <c r="L29" i="15"/>
  <c r="Q17" i="11"/>
  <c r="C9" i="36" s="1"/>
  <c r="D31" i="17" l="1"/>
  <c r="K31" i="17" s="1"/>
  <c r="M31" i="17"/>
  <c r="D29" i="18"/>
  <c r="E29" i="18" s="1"/>
  <c r="F29" i="18" s="1"/>
  <c r="K30" i="16"/>
  <c r="S30" i="16"/>
  <c r="O30" i="16"/>
  <c r="E31" i="14"/>
  <c r="F31" i="14" s="1"/>
  <c r="K31" i="14"/>
  <c r="L31" i="14" s="1"/>
  <c r="T29" i="15"/>
  <c r="D30" i="15" s="1"/>
  <c r="E30" i="15" s="1"/>
  <c r="F30" i="15" s="1"/>
  <c r="R17" i="11"/>
  <c r="T17" i="11" s="1"/>
  <c r="E31" i="17" l="1"/>
  <c r="F31" i="17" s="1"/>
  <c r="S31" i="17" s="1"/>
  <c r="L30" i="16"/>
  <c r="L31" i="17"/>
  <c r="D23" i="36"/>
  <c r="S31" i="14"/>
  <c r="O31" i="14"/>
  <c r="Q31" i="14" s="1"/>
  <c r="R31" i="14" s="1"/>
  <c r="O31" i="17"/>
  <c r="Q31" i="17" s="1"/>
  <c r="K29" i="18"/>
  <c r="Q30" i="16"/>
  <c r="O30" i="15"/>
  <c r="K30" i="15"/>
  <c r="S29" i="18"/>
  <c r="S30" i="15"/>
  <c r="D18" i="11"/>
  <c r="M18" i="11"/>
  <c r="R31" i="17" l="1"/>
  <c r="T31" i="17" s="1"/>
  <c r="D32" i="17" s="1"/>
  <c r="E32" i="17" s="1"/>
  <c r="F32" i="17" s="1"/>
  <c r="S32" i="17" s="1"/>
  <c r="E23" i="36"/>
  <c r="R30" i="16"/>
  <c r="T30" i="16" s="1"/>
  <c r="D31" i="16" s="1"/>
  <c r="Q29" i="18"/>
  <c r="G21" i="36" s="1"/>
  <c r="F21" i="36"/>
  <c r="M32" i="17"/>
  <c r="T31" i="14"/>
  <c r="L29" i="18"/>
  <c r="O32" i="17"/>
  <c r="Q30" i="15"/>
  <c r="R30" i="15" s="1"/>
  <c r="L30" i="15"/>
  <c r="E18" i="11"/>
  <c r="F18" i="11" s="1"/>
  <c r="K18" i="11"/>
  <c r="B10" i="36" s="1"/>
  <c r="T29" i="18" l="1"/>
  <c r="D30" i="18" s="1"/>
  <c r="K30" i="18" s="1"/>
  <c r="F22" i="36" s="1"/>
  <c r="M31" i="16"/>
  <c r="K32" i="17"/>
  <c r="D32" i="14"/>
  <c r="M32" i="14"/>
  <c r="T30" i="15"/>
  <c r="D31" i="15" s="1"/>
  <c r="R32" i="17"/>
  <c r="E31" i="16"/>
  <c r="F31" i="16" s="1"/>
  <c r="K31" i="16"/>
  <c r="L18" i="11"/>
  <c r="O18" i="11"/>
  <c r="Q18" i="11" s="1"/>
  <c r="C10" i="36" s="1"/>
  <c r="S18" i="11"/>
  <c r="E30" i="18" l="1"/>
  <c r="F30" i="18" s="1"/>
  <c r="L31" i="16"/>
  <c r="L30" i="18"/>
  <c r="L32" i="17"/>
  <c r="Q32" i="17"/>
  <c r="S31" i="16"/>
  <c r="O31" i="16"/>
  <c r="Q31" i="16" s="1"/>
  <c r="K32" i="14"/>
  <c r="L32" i="14" s="1"/>
  <c r="E32" i="14"/>
  <c r="F32" i="14" s="1"/>
  <c r="M31" i="15"/>
  <c r="M33" i="17"/>
  <c r="M34" i="17" s="1"/>
  <c r="M33" i="14"/>
  <c r="M34" i="14" s="1"/>
  <c r="K31" i="15"/>
  <c r="L31" i="15" s="1"/>
  <c r="E31" i="15"/>
  <c r="F31" i="15" s="1"/>
  <c r="R18" i="11"/>
  <c r="T18" i="11" s="1"/>
  <c r="S30" i="18" l="1"/>
  <c r="O30" i="18"/>
  <c r="Q30" i="18" s="1"/>
  <c r="D24" i="36"/>
  <c r="R31" i="16"/>
  <c r="T31" i="16" s="1"/>
  <c r="T32" i="17"/>
  <c r="D33" i="17" s="1"/>
  <c r="K33" i="17" s="1"/>
  <c r="S31" i="15"/>
  <c r="O31" i="15"/>
  <c r="Q31" i="15" s="1"/>
  <c r="O32" i="14"/>
  <c r="Q32" i="14" s="1"/>
  <c r="R32" i="14" s="1"/>
  <c r="S32" i="14"/>
  <c r="D19" i="11"/>
  <c r="M19" i="11"/>
  <c r="G22" i="36" l="1"/>
  <c r="R30" i="18"/>
  <c r="T30" i="18" s="1"/>
  <c r="E24" i="36"/>
  <c r="E33" i="17"/>
  <c r="F33" i="17" s="1"/>
  <c r="S33" i="17" s="1"/>
  <c r="T32" i="14"/>
  <c r="D33" i="14" s="1"/>
  <c r="E33" i="14" s="1"/>
  <c r="F33" i="14" s="1"/>
  <c r="S33" i="14" s="1"/>
  <c r="R31" i="15"/>
  <c r="T31" i="15" s="1"/>
  <c r="D32" i="16"/>
  <c r="K32" i="16" s="1"/>
  <c r="M32" i="16"/>
  <c r="O32" i="16"/>
  <c r="R32" i="16"/>
  <c r="L33" i="17"/>
  <c r="Q33" i="17"/>
  <c r="E19" i="11"/>
  <c r="F19" i="11" s="1"/>
  <c r="K19" i="11"/>
  <c r="B11" i="36" s="1"/>
  <c r="M31" i="18" l="1"/>
  <c r="D31" i="18"/>
  <c r="L32" i="16"/>
  <c r="Q32" i="16"/>
  <c r="E32" i="16"/>
  <c r="F32" i="16" s="1"/>
  <c r="S32" i="16" s="1"/>
  <c r="K33" i="14"/>
  <c r="D25" i="36" s="1"/>
  <c r="D32" i="15"/>
  <c r="M32" i="15"/>
  <c r="O31" i="18"/>
  <c r="T33" i="17"/>
  <c r="D34" i="17" s="1"/>
  <c r="E34" i="17" s="1"/>
  <c r="F34" i="17" s="1"/>
  <c r="O32" i="15"/>
  <c r="L19" i="11"/>
  <c r="O19" i="11"/>
  <c r="Q19" i="11" s="1"/>
  <c r="C11" i="36" s="1"/>
  <c r="S19" i="11"/>
  <c r="E31" i="18" l="1"/>
  <c r="F31" i="18" s="1"/>
  <c r="S31" i="18" s="1"/>
  <c r="K31" i="18"/>
  <c r="Q31" i="18" s="1"/>
  <c r="G23" i="36" s="1"/>
  <c r="T32" i="16"/>
  <c r="L33" i="14"/>
  <c r="Q33" i="14"/>
  <c r="S34" i="17"/>
  <c r="O34" i="17"/>
  <c r="K32" i="15"/>
  <c r="L32" i="15" s="1"/>
  <c r="E32" i="15"/>
  <c r="F32" i="15" s="1"/>
  <c r="S32" i="15" s="1"/>
  <c r="K34" i="17"/>
  <c r="D33" i="16"/>
  <c r="M33" i="16"/>
  <c r="M34" i="16" s="1"/>
  <c r="R31" i="18"/>
  <c r="R19" i="11"/>
  <c r="T19" i="11" s="1"/>
  <c r="T31" i="18" l="1"/>
  <c r="F23" i="36"/>
  <c r="L31" i="18"/>
  <c r="T33" i="14"/>
  <c r="D34" i="14" s="1"/>
  <c r="K34" i="14" s="1"/>
  <c r="D26" i="36" s="1"/>
  <c r="E25" i="36"/>
  <c r="L34" i="17"/>
  <c r="D32" i="18"/>
  <c r="E32" i="18" s="1"/>
  <c r="F32" i="18" s="1"/>
  <c r="S32" i="18" s="1"/>
  <c r="M32" i="18"/>
  <c r="Q32" i="15"/>
  <c r="R32" i="15" s="1"/>
  <c r="Q34" i="17"/>
  <c r="M33" i="15"/>
  <c r="M34" i="15" s="1"/>
  <c r="K33" i="16"/>
  <c r="E33" i="16"/>
  <c r="F33" i="16" s="1"/>
  <c r="S33" i="16" s="1"/>
  <c r="D20" i="11"/>
  <c r="M20" i="11"/>
  <c r="E34" i="14" l="1"/>
  <c r="F34" i="14" s="1"/>
  <c r="S34" i="14" s="1"/>
  <c r="L34" i="14"/>
  <c r="K32" i="18"/>
  <c r="R34" i="17"/>
  <c r="T34" i="17" s="1"/>
  <c r="T32" i="15"/>
  <c r="D33" i="15" s="1"/>
  <c r="E33" i="15" s="1"/>
  <c r="F33" i="15" s="1"/>
  <c r="S33" i="15" s="1"/>
  <c r="Q33" i="16"/>
  <c r="L33" i="16"/>
  <c r="O32" i="18"/>
  <c r="R32" i="18"/>
  <c r="E20" i="11"/>
  <c r="F20" i="11" s="1"/>
  <c r="K20" i="11"/>
  <c r="B12" i="36" s="1"/>
  <c r="O34" i="14" l="1"/>
  <c r="Q34" i="14" s="1"/>
  <c r="E26" i="36" s="1"/>
  <c r="L32" i="18"/>
  <c r="F24" i="36"/>
  <c r="T33" i="16"/>
  <c r="D34" i="16" s="1"/>
  <c r="E34" i="16" s="1"/>
  <c r="F34" i="16" s="1"/>
  <c r="Q32" i="18"/>
  <c r="D35" i="17"/>
  <c r="M35" i="17"/>
  <c r="K33" i="15"/>
  <c r="L33" i="15" s="1"/>
  <c r="M33" i="18"/>
  <c r="M34" i="18" s="1"/>
  <c r="L20" i="11"/>
  <c r="S20" i="11"/>
  <c r="O20" i="11"/>
  <c r="Q20" i="11" s="1"/>
  <c r="R34" i="14" l="1"/>
  <c r="T34" i="14" s="1"/>
  <c r="R20" i="11"/>
  <c r="T20" i="11" s="1"/>
  <c r="D21" i="11" s="1"/>
  <c r="C12" i="36"/>
  <c r="T32" i="18"/>
  <c r="D33" i="18" s="1"/>
  <c r="E33" i="18" s="1"/>
  <c r="F33" i="18" s="1"/>
  <c r="S33" i="18" s="1"/>
  <c r="G24" i="36"/>
  <c r="K34" i="16"/>
  <c r="M35" i="14"/>
  <c r="D35" i="14"/>
  <c r="Q33" i="15"/>
  <c r="T33" i="15" s="1"/>
  <c r="D34" i="15" s="1"/>
  <c r="E34" i="15" s="1"/>
  <c r="F34" i="15" s="1"/>
  <c r="E35" i="17"/>
  <c r="F35" i="17" s="1"/>
  <c r="K35" i="17"/>
  <c r="S34" i="16"/>
  <c r="O34" i="16"/>
  <c r="L34" i="16" l="1"/>
  <c r="K33" i="18"/>
  <c r="F25" i="36" s="1"/>
  <c r="Q34" i="16"/>
  <c r="S35" i="17"/>
  <c r="O35" i="17"/>
  <c r="Q35" i="17" s="1"/>
  <c r="R35" i="17" s="1"/>
  <c r="E35" i="14"/>
  <c r="F35" i="14" s="1"/>
  <c r="K35" i="14"/>
  <c r="D27" i="36" s="1"/>
  <c r="K34" i="15"/>
  <c r="L34" i="15" s="1"/>
  <c r="S34" i="15"/>
  <c r="O34" i="15"/>
  <c r="L35" i="17"/>
  <c r="L33" i="18"/>
  <c r="M21" i="11"/>
  <c r="K21" i="11"/>
  <c r="B13" i="36" s="1"/>
  <c r="E21" i="11"/>
  <c r="F21" i="11" s="1"/>
  <c r="Q33" i="18" l="1"/>
  <c r="T33" i="18" s="1"/>
  <c r="D34" i="18" s="1"/>
  <c r="E34" i="18" s="1"/>
  <c r="F34" i="18" s="1"/>
  <c r="T35" i="17"/>
  <c r="D36" i="17" s="1"/>
  <c r="E36" i="17" s="1"/>
  <c r="F36" i="17" s="1"/>
  <c r="S36" i="17" s="1"/>
  <c r="G25" i="36"/>
  <c r="R34" i="16"/>
  <c r="T34" i="16" s="1"/>
  <c r="D35" i="16" s="1"/>
  <c r="S35" i="14"/>
  <c r="O35" i="14"/>
  <c r="Q35" i="14" s="1"/>
  <c r="R35" i="14" s="1"/>
  <c r="M36" i="17"/>
  <c r="M37" i="17" s="1"/>
  <c r="L35" i="14"/>
  <c r="Q34" i="15"/>
  <c r="R34" i="15" s="1"/>
  <c r="O21" i="11"/>
  <c r="Q21" i="11" s="1"/>
  <c r="S21" i="11"/>
  <c r="L21" i="11"/>
  <c r="M35" i="16" l="1"/>
  <c r="K34" i="18"/>
  <c r="F26" i="36" s="1"/>
  <c r="E27" i="36"/>
  <c r="R21" i="11"/>
  <c r="T21" i="11" s="1"/>
  <c r="D22" i="11" s="1"/>
  <c r="C13" i="36"/>
  <c r="K36" i="17"/>
  <c r="T35" i="14"/>
  <c r="T34" i="15"/>
  <c r="D35" i="15" s="1"/>
  <c r="K35" i="15" s="1"/>
  <c r="S34" i="18"/>
  <c r="O34" i="18"/>
  <c r="E35" i="16"/>
  <c r="F35" i="16" s="1"/>
  <c r="K35" i="16"/>
  <c r="Q34" i="18" l="1"/>
  <c r="R34" i="18" s="1"/>
  <c r="T34" i="18" s="1"/>
  <c r="L34" i="18"/>
  <c r="Q36" i="17"/>
  <c r="L36" i="17"/>
  <c r="S35" i="16"/>
  <c r="O35" i="16"/>
  <c r="Q35" i="16" s="1"/>
  <c r="D36" i="14"/>
  <c r="M36" i="14"/>
  <c r="M37" i="14" s="1"/>
  <c r="M35" i="15"/>
  <c r="E35" i="15"/>
  <c r="F35" i="15" s="1"/>
  <c r="L35" i="16"/>
  <c r="L35" i="15"/>
  <c r="M22" i="11"/>
  <c r="K22" i="11"/>
  <c r="B14" i="36" s="1"/>
  <c r="E22" i="11"/>
  <c r="F22" i="11" s="1"/>
  <c r="G26" i="36" l="1"/>
  <c r="T36" i="17"/>
  <c r="D37" i="17" s="1"/>
  <c r="K36" i="14"/>
  <c r="D28" i="36" s="1"/>
  <c r="E36" i="14"/>
  <c r="F36" i="14" s="1"/>
  <c r="S36" i="14" s="1"/>
  <c r="R35" i="16"/>
  <c r="T35" i="16" s="1"/>
  <c r="S35" i="15"/>
  <c r="O35" i="15"/>
  <c r="Q35" i="15" s="1"/>
  <c r="R35" i="15" s="1"/>
  <c r="D35" i="18"/>
  <c r="M35" i="18"/>
  <c r="O22" i="11"/>
  <c r="Q22" i="11" s="1"/>
  <c r="S22" i="11"/>
  <c r="L22" i="11"/>
  <c r="R22" i="11" l="1"/>
  <c r="T22" i="11" s="1"/>
  <c r="C14" i="36"/>
  <c r="E37" i="17"/>
  <c r="F37" i="17" s="1"/>
  <c r="K37" i="17"/>
  <c r="T35" i="15"/>
  <c r="D36" i="15" s="1"/>
  <c r="E36" i="15" s="1"/>
  <c r="F36" i="15" s="1"/>
  <c r="S36" i="15" s="1"/>
  <c r="M36" i="15"/>
  <c r="M37" i="15" s="1"/>
  <c r="D36" i="16"/>
  <c r="M36" i="16"/>
  <c r="M37" i="16" s="1"/>
  <c r="L36" i="14"/>
  <c r="Q36" i="14"/>
  <c r="K35" i="18"/>
  <c r="F27" i="36" s="1"/>
  <c r="E35" i="18"/>
  <c r="F35" i="18" s="1"/>
  <c r="S37" i="17" l="1"/>
  <c r="O37" i="17"/>
  <c r="Q37" i="17" s="1"/>
  <c r="T36" i="14"/>
  <c r="D37" i="14" s="1"/>
  <c r="E37" i="14" s="1"/>
  <c r="F37" i="14" s="1"/>
  <c r="E28" i="36"/>
  <c r="L37" i="17"/>
  <c r="R37" i="17"/>
  <c r="K36" i="15"/>
  <c r="L36" i="15" s="1"/>
  <c r="S35" i="18"/>
  <c r="O35" i="18"/>
  <c r="Q35" i="18" s="1"/>
  <c r="K36" i="16"/>
  <c r="E36" i="16"/>
  <c r="F36" i="16" s="1"/>
  <c r="S36" i="16" s="1"/>
  <c r="L35" i="18"/>
  <c r="D23" i="11"/>
  <c r="K23" i="11" s="1"/>
  <c r="B15" i="36" s="1"/>
  <c r="M23" i="11"/>
  <c r="T37" i="17" l="1"/>
  <c r="D38" i="17" s="1"/>
  <c r="S37" i="14"/>
  <c r="O37" i="14"/>
  <c r="M38" i="17"/>
  <c r="K37" i="14"/>
  <c r="L37" i="14" s="1"/>
  <c r="R35" i="18"/>
  <c r="T35" i="18" s="1"/>
  <c r="G27" i="36"/>
  <c r="Q36" i="15"/>
  <c r="T36" i="15" s="1"/>
  <c r="D37" i="15" s="1"/>
  <c r="K37" i="15" s="1"/>
  <c r="L37" i="15" s="1"/>
  <c r="Q36" i="16"/>
  <c r="L36" i="16"/>
  <c r="O38" i="14"/>
  <c r="K38" i="17"/>
  <c r="E38" i="17"/>
  <c r="F38" i="17" s="1"/>
  <c r="E23" i="11"/>
  <c r="F23" i="11" s="1"/>
  <c r="L23" i="11"/>
  <c r="D29" i="36" l="1"/>
  <c r="Q37" i="14"/>
  <c r="E29" i="36" s="1"/>
  <c r="R37" i="14"/>
  <c r="T36" i="16"/>
  <c r="D37" i="16" s="1"/>
  <c r="K37" i="16" s="1"/>
  <c r="E37" i="15"/>
  <c r="F37" i="15" s="1"/>
  <c r="D36" i="18"/>
  <c r="M36" i="18"/>
  <c r="M37" i="18" s="1"/>
  <c r="R38" i="14"/>
  <c r="O38" i="17"/>
  <c r="Q38" i="17" s="1"/>
  <c r="L38" i="17"/>
  <c r="S38" i="17"/>
  <c r="S23" i="11"/>
  <c r="O23" i="11"/>
  <c r="Q23" i="11" s="1"/>
  <c r="S37" i="15" l="1"/>
  <c r="O37" i="15"/>
  <c r="Q37" i="15" s="1"/>
  <c r="R37" i="15" s="1"/>
  <c r="T37" i="14"/>
  <c r="R23" i="11"/>
  <c r="T23" i="11" s="1"/>
  <c r="C15" i="36"/>
  <c r="L37" i="16"/>
  <c r="E37" i="16"/>
  <c r="F37" i="16" s="1"/>
  <c r="R38" i="17"/>
  <c r="T38" i="17" s="1"/>
  <c r="E36" i="18"/>
  <c r="F36" i="18" s="1"/>
  <c r="K36" i="18"/>
  <c r="F28" i="36" s="1"/>
  <c r="D38" i="15"/>
  <c r="E38" i="15" s="1"/>
  <c r="F38" i="15" s="1"/>
  <c r="T37" i="15" l="1"/>
  <c r="M38" i="15" s="1"/>
  <c r="D38" i="14"/>
  <c r="E38" i="14" s="1"/>
  <c r="F38" i="14" s="1"/>
  <c r="S38" i="14" s="1"/>
  <c r="M38" i="14"/>
  <c r="M39" i="14" s="1"/>
  <c r="M40" i="14" s="1"/>
  <c r="S37" i="16"/>
  <c r="O37" i="16"/>
  <c r="Q37" i="16" s="1"/>
  <c r="R37" i="16"/>
  <c r="K38" i="14"/>
  <c r="S36" i="18"/>
  <c r="Q36" i="18"/>
  <c r="L36" i="18"/>
  <c r="O38" i="15"/>
  <c r="D39" i="17"/>
  <c r="K39" i="17" s="1"/>
  <c r="M39" i="17"/>
  <c r="M40" i="17" s="1"/>
  <c r="K38" i="15"/>
  <c r="L38" i="15" s="1"/>
  <c r="S38" i="15"/>
  <c r="D24" i="11"/>
  <c r="M24" i="11"/>
  <c r="T37" i="16" l="1"/>
  <c r="D38" i="16"/>
  <c r="K38" i="16" s="1"/>
  <c r="M38" i="16"/>
  <c r="L38" i="14"/>
  <c r="D30" i="36"/>
  <c r="Q38" i="14"/>
  <c r="Q39" i="17"/>
  <c r="T36" i="18"/>
  <c r="D37" i="18" s="1"/>
  <c r="E37" i="18" s="1"/>
  <c r="F37" i="18" s="1"/>
  <c r="G28" i="36"/>
  <c r="L39" i="17"/>
  <c r="O38" i="16"/>
  <c r="Q38" i="15"/>
  <c r="R38" i="15" s="1"/>
  <c r="E39" i="17"/>
  <c r="F39" i="17" s="1"/>
  <c r="S39" i="17" s="1"/>
  <c r="L38" i="16"/>
  <c r="E24" i="11"/>
  <c r="F24" i="11" s="1"/>
  <c r="K24" i="11"/>
  <c r="B16" i="36" s="1"/>
  <c r="Q38" i="16" l="1"/>
  <c r="E38" i="16"/>
  <c r="F38" i="16" s="1"/>
  <c r="S38" i="16" s="1"/>
  <c r="S37" i="18"/>
  <c r="O37" i="18"/>
  <c r="E30" i="36"/>
  <c r="T38" i="14"/>
  <c r="D39" i="14" s="1"/>
  <c r="K37" i="18"/>
  <c r="F29" i="36" s="1"/>
  <c r="R38" i="16"/>
  <c r="T38" i="15"/>
  <c r="T39" i="17"/>
  <c r="D40" i="17" s="1"/>
  <c r="L24" i="11"/>
  <c r="S24" i="11"/>
  <c r="O24" i="11"/>
  <c r="Q24" i="11" s="1"/>
  <c r="T38" i="16" l="1"/>
  <c r="Q37" i="18"/>
  <c r="G29" i="36" s="1"/>
  <c r="L37" i="18"/>
  <c r="E39" i="14"/>
  <c r="F39" i="14" s="1"/>
  <c r="S39" i="14" s="1"/>
  <c r="K39" i="14"/>
  <c r="R24" i="11"/>
  <c r="T24" i="11" s="1"/>
  <c r="D25" i="11" s="1"/>
  <c r="K25" i="11" s="1"/>
  <c r="B17" i="36" s="1"/>
  <c r="C16" i="36"/>
  <c r="R37" i="18"/>
  <c r="D39" i="16"/>
  <c r="M39" i="16"/>
  <c r="M40" i="16" s="1"/>
  <c r="O38" i="18"/>
  <c r="K40" i="17"/>
  <c r="E40" i="17"/>
  <c r="F40" i="17" s="1"/>
  <c r="D39" i="15"/>
  <c r="M39" i="15"/>
  <c r="M40" i="15" s="1"/>
  <c r="T37" i="18" l="1"/>
  <c r="D38" i="18"/>
  <c r="E38" i="18" s="1"/>
  <c r="F38" i="18" s="1"/>
  <c r="S38" i="18" s="1"/>
  <c r="M38" i="18"/>
  <c r="S40" i="17"/>
  <c r="O40" i="17"/>
  <c r="Q40" i="17" s="1"/>
  <c r="R40" i="17" s="1"/>
  <c r="Q39" i="14"/>
  <c r="L39" i="14"/>
  <c r="D31" i="36"/>
  <c r="L40" i="17"/>
  <c r="K39" i="15"/>
  <c r="E39" i="15"/>
  <c r="F39" i="15" s="1"/>
  <c r="K39" i="16"/>
  <c r="E39" i="16"/>
  <c r="F39" i="16" s="1"/>
  <c r="M25" i="11"/>
  <c r="E25" i="11"/>
  <c r="F25" i="11" s="1"/>
  <c r="L25" i="11"/>
  <c r="K38" i="18" l="1"/>
  <c r="T39" i="14"/>
  <c r="D40" i="14" s="1"/>
  <c r="E31" i="36"/>
  <c r="T40" i="17"/>
  <c r="L38" i="18"/>
  <c r="F30" i="36"/>
  <c r="Q38" i="18"/>
  <c r="G30" i="36" s="1"/>
  <c r="S39" i="16"/>
  <c r="Q39" i="16"/>
  <c r="L39" i="16"/>
  <c r="M39" i="18"/>
  <c r="M40" i="18" s="1"/>
  <c r="S39" i="15"/>
  <c r="Q39" i="15"/>
  <c r="L39" i="15"/>
  <c r="S25" i="11"/>
  <c r="O25" i="11"/>
  <c r="Q25" i="11" s="1"/>
  <c r="D41" i="17" l="1"/>
  <c r="K41" i="17" s="1"/>
  <c r="Q41" i="17" s="1"/>
  <c r="M41" i="17"/>
  <c r="M42" i="17" s="1"/>
  <c r="E40" i="14"/>
  <c r="F40" i="14" s="1"/>
  <c r="K40" i="14"/>
  <c r="R25" i="11"/>
  <c r="T25" i="11" s="1"/>
  <c r="M26" i="11" s="1"/>
  <c r="C17" i="36"/>
  <c r="T39" i="16"/>
  <c r="D40" i="16" s="1"/>
  <c r="E40" i="16" s="1"/>
  <c r="F40" i="16" s="1"/>
  <c r="R38" i="18"/>
  <c r="T38" i="18" s="1"/>
  <c r="D39" i="18" s="1"/>
  <c r="E39" i="18" s="1"/>
  <c r="F39" i="18" s="1"/>
  <c r="S39" i="18" s="1"/>
  <c r="T39" i="15"/>
  <c r="D40" i="15" s="1"/>
  <c r="K40" i="15" s="1"/>
  <c r="L40" i="15" s="1"/>
  <c r="E41" i="17" l="1"/>
  <c r="F41" i="17" s="1"/>
  <c r="S41" i="17" s="1"/>
  <c r="T41" i="17" s="1"/>
  <c r="D42" i="17" s="1"/>
  <c r="E42" i="17" s="1"/>
  <c r="F42" i="17" s="1"/>
  <c r="L41" i="17"/>
  <c r="S40" i="14"/>
  <c r="O40" i="14"/>
  <c r="S40" i="16"/>
  <c r="O40" i="16"/>
  <c r="L40" i="14"/>
  <c r="Q40" i="14"/>
  <c r="R40" i="14" s="1"/>
  <c r="D32" i="36"/>
  <c r="K40" i="16"/>
  <c r="L40" i="16" s="1"/>
  <c r="K39" i="18"/>
  <c r="Q39" i="18" s="1"/>
  <c r="E40" i="15"/>
  <c r="F40" i="15" s="1"/>
  <c r="O42" i="14"/>
  <c r="D26" i="11"/>
  <c r="K26" i="11" s="1"/>
  <c r="B18" i="36" s="1"/>
  <c r="F31" i="36" l="1"/>
  <c r="S40" i="15"/>
  <c r="O40" i="15"/>
  <c r="Q40" i="15" s="1"/>
  <c r="R40" i="15" s="1"/>
  <c r="Q40" i="16"/>
  <c r="R40" i="16" s="1"/>
  <c r="L39" i="18"/>
  <c r="T40" i="14"/>
  <c r="E32" i="36"/>
  <c r="K42" i="17"/>
  <c r="G31" i="36"/>
  <c r="T39" i="18"/>
  <c r="D40" i="18" s="1"/>
  <c r="O42" i="17"/>
  <c r="S42" i="17"/>
  <c r="E26" i="11"/>
  <c r="F26" i="11" s="1"/>
  <c r="O26" i="11" s="1"/>
  <c r="Q26" i="11" s="1"/>
  <c r="L26" i="11"/>
  <c r="T40" i="15" l="1"/>
  <c r="D41" i="14"/>
  <c r="K41" i="14" s="1"/>
  <c r="M41" i="14"/>
  <c r="M42" i="14" s="1"/>
  <c r="D41" i="15"/>
  <c r="E41" i="15" s="1"/>
  <c r="F41" i="15" s="1"/>
  <c r="S41" i="15" s="1"/>
  <c r="M41" i="15"/>
  <c r="M42" i="15" s="1"/>
  <c r="T40" i="16"/>
  <c r="Q42" i="17"/>
  <c r="L42" i="17"/>
  <c r="R26" i="11"/>
  <c r="C18" i="36"/>
  <c r="R42" i="17"/>
  <c r="K40" i="18"/>
  <c r="E40" i="18"/>
  <c r="F40" i="18" s="1"/>
  <c r="M43" i="14"/>
  <c r="M44" i="14" s="1"/>
  <c r="M45" i="14" s="1"/>
  <c r="M46" i="14" s="1"/>
  <c r="S26" i="11"/>
  <c r="E41" i="14" l="1"/>
  <c r="F41" i="14" s="1"/>
  <c r="S41" i="14" s="1"/>
  <c r="K41" i="15"/>
  <c r="Q41" i="15" s="1"/>
  <c r="T41" i="15" s="1"/>
  <c r="D42" i="15" s="1"/>
  <c r="E42" i="15" s="1"/>
  <c r="F42" i="15" s="1"/>
  <c r="D41" i="16"/>
  <c r="M41" i="16"/>
  <c r="M42" i="16" s="1"/>
  <c r="S40" i="18"/>
  <c r="O40" i="18"/>
  <c r="Q40" i="18" s="1"/>
  <c r="T42" i="17"/>
  <c r="D43" i="17" s="1"/>
  <c r="Q41" i="14"/>
  <c r="L41" i="14"/>
  <c r="D33" i="36"/>
  <c r="T26" i="11"/>
  <c r="D27" i="11" s="1"/>
  <c r="K27" i="11" s="1"/>
  <c r="F32" i="36"/>
  <c r="L40" i="18"/>
  <c r="M43" i="17"/>
  <c r="M44" i="17" s="1"/>
  <c r="M45" i="17" s="1"/>
  <c r="M46" i="17" s="1"/>
  <c r="M27" i="11" l="1"/>
  <c r="M28" i="11" s="1"/>
  <c r="K42" i="15"/>
  <c r="L41" i="15"/>
  <c r="G32" i="36"/>
  <c r="R40" i="18"/>
  <c r="T40" i="18" s="1"/>
  <c r="K41" i="16"/>
  <c r="E41" i="16"/>
  <c r="F41" i="16" s="1"/>
  <c r="T41" i="14"/>
  <c r="D42" i="14" s="1"/>
  <c r="E33" i="36"/>
  <c r="Q27" i="11"/>
  <c r="C19" i="36" s="1"/>
  <c r="B19" i="36"/>
  <c r="K43" i="17"/>
  <c r="E43" i="17"/>
  <c r="F43" i="17" s="1"/>
  <c r="S43" i="17" s="1"/>
  <c r="O42" i="16"/>
  <c r="S42" i="15"/>
  <c r="O42" i="15"/>
  <c r="L27" i="11"/>
  <c r="E27" i="11"/>
  <c r="F27" i="11" s="1"/>
  <c r="S27" i="11" s="1"/>
  <c r="Q42" i="15" l="1"/>
  <c r="R42" i="15" s="1"/>
  <c r="L42" i="15"/>
  <c r="D41" i="18"/>
  <c r="M41" i="18"/>
  <c r="M42" i="18" s="1"/>
  <c r="S41" i="16"/>
  <c r="L41" i="16"/>
  <c r="Q41" i="16"/>
  <c r="E42" i="14"/>
  <c r="F42" i="14" s="1"/>
  <c r="K42" i="14"/>
  <c r="R42" i="16"/>
  <c r="L43" i="17"/>
  <c r="Q43" i="17"/>
  <c r="T27" i="11"/>
  <c r="D28" i="11" s="1"/>
  <c r="K28" i="11" s="1"/>
  <c r="T42" i="15" l="1"/>
  <c r="T41" i="16"/>
  <c r="D42" i="16" s="1"/>
  <c r="E42" i="16" s="1"/>
  <c r="F42" i="16" s="1"/>
  <c r="S42" i="16" s="1"/>
  <c r="K41" i="18"/>
  <c r="E41" i="18"/>
  <c r="F41" i="18" s="1"/>
  <c r="L42" i="14"/>
  <c r="Q42" i="14"/>
  <c r="D34" i="36"/>
  <c r="S42" i="14"/>
  <c r="L28" i="11"/>
  <c r="B20" i="36"/>
  <c r="T43" i="17"/>
  <c r="D44" i="17" s="1"/>
  <c r="K44" i="17" s="1"/>
  <c r="O42" i="18"/>
  <c r="M43" i="15"/>
  <c r="M44" i="15" s="1"/>
  <c r="M45" i="15" s="1"/>
  <c r="M46" i="15" s="1"/>
  <c r="D43" i="15"/>
  <c r="M43" i="16"/>
  <c r="M44" i="16" s="1"/>
  <c r="M45" i="16" s="1"/>
  <c r="M46" i="16" s="1"/>
  <c r="E28" i="11"/>
  <c r="F28" i="11" s="1"/>
  <c r="S28" i="11" s="1"/>
  <c r="K42" i="16" l="1"/>
  <c r="L42" i="16" s="1"/>
  <c r="S41" i="18"/>
  <c r="F33" i="36"/>
  <c r="Q41" i="18"/>
  <c r="L41" i="18"/>
  <c r="R42" i="14"/>
  <c r="T42" i="14" s="1"/>
  <c r="D43" i="14" s="1"/>
  <c r="E34" i="36"/>
  <c r="E44" i="17"/>
  <c r="F44" i="17" s="1"/>
  <c r="S44" i="17" s="1"/>
  <c r="R42" i="18"/>
  <c r="Q44" i="17"/>
  <c r="L44" i="17"/>
  <c r="E43" i="15"/>
  <c r="F43" i="15" s="1"/>
  <c r="S43" i="15" s="1"/>
  <c r="K43" i="15"/>
  <c r="O28" i="11"/>
  <c r="Q28" i="11" s="1"/>
  <c r="T41" i="18" l="1"/>
  <c r="D42" i="18" s="1"/>
  <c r="G33" i="36"/>
  <c r="Q42" i="16"/>
  <c r="T42" i="16" s="1"/>
  <c r="D43" i="16" s="1"/>
  <c r="K43" i="16" s="1"/>
  <c r="L43" i="16" s="1"/>
  <c r="K42" i="18"/>
  <c r="E42" i="18"/>
  <c r="F42" i="18" s="1"/>
  <c r="S42" i="18" s="1"/>
  <c r="E43" i="14"/>
  <c r="F43" i="14" s="1"/>
  <c r="S43" i="14" s="1"/>
  <c r="K43" i="14"/>
  <c r="R28" i="11"/>
  <c r="T28" i="11" s="1"/>
  <c r="D29" i="11" s="1"/>
  <c r="K29" i="11" s="1"/>
  <c r="B21" i="36" s="1"/>
  <c r="C20" i="36"/>
  <c r="T44" i="17"/>
  <c r="D45" i="17" s="1"/>
  <c r="K45" i="17" s="1"/>
  <c r="M43" i="18"/>
  <c r="M44" i="18" s="1"/>
  <c r="M45" i="18" s="1"/>
  <c r="M46" i="18" s="1"/>
  <c r="Q43" i="15"/>
  <c r="T43" i="15" s="1"/>
  <c r="D44" i="15" s="1"/>
  <c r="L43" i="15"/>
  <c r="Q43" i="16" l="1"/>
  <c r="E43" i="16"/>
  <c r="F43" i="16" s="1"/>
  <c r="S43" i="16" s="1"/>
  <c r="F34" i="36"/>
  <c r="L42" i="18"/>
  <c r="Q42" i="18"/>
  <c r="E45" i="17"/>
  <c r="F45" i="17" s="1"/>
  <c r="S45" i="17" s="1"/>
  <c r="L43" i="14"/>
  <c r="Q43" i="14"/>
  <c r="D35" i="36"/>
  <c r="E44" i="15"/>
  <c r="F44" i="15" s="1"/>
  <c r="S44" i="15" s="1"/>
  <c r="K44" i="15"/>
  <c r="L45" i="17"/>
  <c r="Q45" i="17"/>
  <c r="E29" i="11"/>
  <c r="F29" i="11" s="1"/>
  <c r="S29" i="11" s="1"/>
  <c r="M29" i="11"/>
  <c r="L29" i="11"/>
  <c r="Q29" i="11"/>
  <c r="C21" i="36" s="1"/>
  <c r="T42" i="18" l="1"/>
  <c r="D43" i="18" s="1"/>
  <c r="E43" i="18" s="1"/>
  <c r="F43" i="18" s="1"/>
  <c r="S43" i="18" s="1"/>
  <c r="G34" i="36"/>
  <c r="T43" i="16"/>
  <c r="D44" i="16" s="1"/>
  <c r="E44" i="16" s="1"/>
  <c r="F44" i="16" s="1"/>
  <c r="S44" i="16" s="1"/>
  <c r="K43" i="18"/>
  <c r="F35" i="36" s="1"/>
  <c r="T43" i="14"/>
  <c r="D44" i="14" s="1"/>
  <c r="E35" i="36"/>
  <c r="K44" i="16"/>
  <c r="Q44" i="16" s="1"/>
  <c r="T45" i="17"/>
  <c r="D46" i="17" s="1"/>
  <c r="K46" i="17" s="1"/>
  <c r="Q44" i="15"/>
  <c r="T44" i="15" s="1"/>
  <c r="D45" i="15" s="1"/>
  <c r="L44" i="15"/>
  <c r="T29" i="11"/>
  <c r="D30" i="11" s="1"/>
  <c r="M30" i="11"/>
  <c r="Q43" i="18" l="1"/>
  <c r="T43" i="18" s="1"/>
  <c r="D44" i="18" s="1"/>
  <c r="E44" i="18" s="1"/>
  <c r="F44" i="18" s="1"/>
  <c r="S44" i="18" s="1"/>
  <c r="L43" i="18"/>
  <c r="K44" i="14"/>
  <c r="E44" i="14"/>
  <c r="F44" i="14" s="1"/>
  <c r="S44" i="14" s="1"/>
  <c r="T44" i="16"/>
  <c r="D45" i="16" s="1"/>
  <c r="E45" i="16" s="1"/>
  <c r="F45" i="16" s="1"/>
  <c r="S45" i="16" s="1"/>
  <c r="L44" i="16"/>
  <c r="L46" i="17"/>
  <c r="E46" i="17"/>
  <c r="F46" i="17" s="1"/>
  <c r="S46" i="17" s="1"/>
  <c r="G35" i="36"/>
  <c r="K45" i="15"/>
  <c r="E45" i="15"/>
  <c r="F45" i="15" s="1"/>
  <c r="S45" i="15" s="1"/>
  <c r="K30" i="11"/>
  <c r="B22" i="36" s="1"/>
  <c r="E30" i="11"/>
  <c r="F30" i="11" s="1"/>
  <c r="O46" i="17" l="1"/>
  <c r="Q46" i="17" s="1"/>
  <c r="Q44" i="14"/>
  <c r="L44" i="14"/>
  <c r="D36" i="36"/>
  <c r="K45" i="16"/>
  <c r="Q45" i="16" s="1"/>
  <c r="K44" i="18"/>
  <c r="F36" i="36" s="1"/>
  <c r="R46" i="17"/>
  <c r="Q45" i="15"/>
  <c r="T45" i="15" s="1"/>
  <c r="D46" i="15" s="1"/>
  <c r="L45" i="15"/>
  <c r="O30" i="11"/>
  <c r="Q30" i="11" s="1"/>
  <c r="S30" i="11"/>
  <c r="L30" i="11"/>
  <c r="T46" i="17" l="1"/>
  <c r="M47" i="17" s="1"/>
  <c r="M48" i="17" s="1"/>
  <c r="M49" i="17" s="1"/>
  <c r="M50" i="17" s="1"/>
  <c r="L45" i="16"/>
  <c r="D47" i="17"/>
  <c r="E47" i="17" s="1"/>
  <c r="F47" i="17" s="1"/>
  <c r="S47" i="17" s="1"/>
  <c r="T44" i="14"/>
  <c r="D45" i="14" s="1"/>
  <c r="E36" i="36"/>
  <c r="Q44" i="18"/>
  <c r="T44" i="18" s="1"/>
  <c r="D45" i="18" s="1"/>
  <c r="E45" i="18" s="1"/>
  <c r="F45" i="18" s="1"/>
  <c r="S45" i="18" s="1"/>
  <c r="L44" i="18"/>
  <c r="R30" i="11"/>
  <c r="T30" i="11" s="1"/>
  <c r="C22" i="36"/>
  <c r="T45" i="16"/>
  <c r="D46" i="16" s="1"/>
  <c r="E46" i="16" s="1"/>
  <c r="F46" i="16" s="1"/>
  <c r="K46" i="15"/>
  <c r="L46" i="15" s="1"/>
  <c r="E46" i="15"/>
  <c r="F46" i="15" s="1"/>
  <c r="G36" i="36" l="1"/>
  <c r="K47" i="17"/>
  <c r="E45" i="14"/>
  <c r="F45" i="14" s="1"/>
  <c r="S45" i="14" s="1"/>
  <c r="K45" i="14"/>
  <c r="K46" i="16"/>
  <c r="L46" i="16" s="1"/>
  <c r="K45" i="18"/>
  <c r="F37" i="36" s="1"/>
  <c r="L47" i="17"/>
  <c r="Q47" i="17"/>
  <c r="T47" i="17" s="1"/>
  <c r="D48" i="17" s="1"/>
  <c r="O46" i="16"/>
  <c r="S46" i="16"/>
  <c r="O46" i="15"/>
  <c r="Q46" i="15" s="1"/>
  <c r="R46" i="15" s="1"/>
  <c r="S46" i="15"/>
  <c r="D31" i="11"/>
  <c r="K31" i="11" s="1"/>
  <c r="M31" i="11"/>
  <c r="Q45" i="14" l="1"/>
  <c r="L45" i="14"/>
  <c r="D37" i="36"/>
  <c r="L45" i="18"/>
  <c r="Q45" i="18"/>
  <c r="T45" i="18" s="1"/>
  <c r="D46" i="18" s="1"/>
  <c r="E46" i="18" s="1"/>
  <c r="F46" i="18" s="1"/>
  <c r="Q46" i="16"/>
  <c r="R46" i="16" s="1"/>
  <c r="K48" i="17"/>
  <c r="E48" i="17"/>
  <c r="F48" i="17" s="1"/>
  <c r="S48" i="17" s="1"/>
  <c r="L31" i="11"/>
  <c r="B23" i="36"/>
  <c r="T46" i="15"/>
  <c r="E31" i="11"/>
  <c r="F31" i="11" s="1"/>
  <c r="G37" i="36" l="1"/>
  <c r="L48" i="17"/>
  <c r="Q48" i="17"/>
  <c r="T45" i="14"/>
  <c r="D46" i="14" s="1"/>
  <c r="E37" i="36"/>
  <c r="T46" i="16"/>
  <c r="K46" i="18"/>
  <c r="L46" i="18" s="1"/>
  <c r="T48" i="17"/>
  <c r="D49" i="17" s="1"/>
  <c r="K49" i="17" s="1"/>
  <c r="M47" i="15"/>
  <c r="M48" i="15" s="1"/>
  <c r="M49" i="15" s="1"/>
  <c r="M50" i="15" s="1"/>
  <c r="D47" i="15"/>
  <c r="S46" i="18"/>
  <c r="O46" i="18"/>
  <c r="O31" i="11"/>
  <c r="Q31" i="11" s="1"/>
  <c r="S31" i="11"/>
  <c r="F38" i="36" l="1"/>
  <c r="D47" i="16"/>
  <c r="K47" i="16" s="1"/>
  <c r="L47" i="16" s="1"/>
  <c r="M47" i="16"/>
  <c r="M48" i="16" s="1"/>
  <c r="M49" i="16" s="1"/>
  <c r="M50" i="16" s="1"/>
  <c r="E46" i="14"/>
  <c r="F46" i="14" s="1"/>
  <c r="K46" i="14"/>
  <c r="E49" i="17"/>
  <c r="F49" i="17" s="1"/>
  <c r="S49" i="17" s="1"/>
  <c r="Q46" i="18"/>
  <c r="R46" i="18" s="1"/>
  <c r="R31" i="11"/>
  <c r="T31" i="11" s="1"/>
  <c r="C23" i="36"/>
  <c r="K47" i="15"/>
  <c r="E47" i="15"/>
  <c r="F47" i="15" s="1"/>
  <c r="S47" i="15" s="1"/>
  <c r="Q49" i="17"/>
  <c r="L49" i="17"/>
  <c r="G38" i="36" l="1"/>
  <c r="Q47" i="16"/>
  <c r="E47" i="16"/>
  <c r="F47" i="16" s="1"/>
  <c r="S47" i="16" s="1"/>
  <c r="S46" i="14"/>
  <c r="O46" i="14"/>
  <c r="Q46" i="14" s="1"/>
  <c r="T46" i="18"/>
  <c r="L46" i="14"/>
  <c r="D38" i="36"/>
  <c r="T49" i="17"/>
  <c r="D50" i="17" s="1"/>
  <c r="E50" i="17" s="1"/>
  <c r="F50" i="17" s="1"/>
  <c r="L47" i="15"/>
  <c r="Q47" i="15"/>
  <c r="T47" i="15" s="1"/>
  <c r="D48" i="15" s="1"/>
  <c r="D32" i="11"/>
  <c r="K32" i="11" s="1"/>
  <c r="M32" i="11"/>
  <c r="O32" i="11"/>
  <c r="R32" i="11"/>
  <c r="T47" i="16" l="1"/>
  <c r="D48" i="16" s="1"/>
  <c r="K48" i="16" s="1"/>
  <c r="Q48" i="16" s="1"/>
  <c r="D47" i="18"/>
  <c r="M47" i="18"/>
  <c r="M48" i="18" s="1"/>
  <c r="M49" i="18" s="1"/>
  <c r="M50" i="18" s="1"/>
  <c r="R46" i="14"/>
  <c r="T46" i="14" s="1"/>
  <c r="E38" i="36"/>
  <c r="K50" i="17"/>
  <c r="L50" i="17" s="1"/>
  <c r="L32" i="11"/>
  <c r="B24" i="36"/>
  <c r="O50" i="14"/>
  <c r="K48" i="15"/>
  <c r="E48" i="15"/>
  <c r="F48" i="15" s="1"/>
  <c r="S48" i="15" s="1"/>
  <c r="S50" i="17"/>
  <c r="O50" i="17"/>
  <c r="Q32" i="11"/>
  <c r="C24" i="36" s="1"/>
  <c r="E32" i="11"/>
  <c r="F32" i="11" s="1"/>
  <c r="S32" i="11" s="1"/>
  <c r="E48" i="16" l="1"/>
  <c r="F48" i="16" s="1"/>
  <c r="S48" i="16" s="1"/>
  <c r="L48" i="16"/>
  <c r="D47" i="14"/>
  <c r="K47" i="14" s="1"/>
  <c r="M47" i="14"/>
  <c r="M48" i="14" s="1"/>
  <c r="M49" i="14" s="1"/>
  <c r="M50" i="14" s="1"/>
  <c r="E47" i="18"/>
  <c r="F47" i="18" s="1"/>
  <c r="S47" i="18" s="1"/>
  <c r="K47" i="18"/>
  <c r="Q50" i="17"/>
  <c r="R50" i="17"/>
  <c r="R50" i="14"/>
  <c r="L48" i="15"/>
  <c r="Q48" i="15"/>
  <c r="T48" i="15" s="1"/>
  <c r="D49" i="15" s="1"/>
  <c r="T32" i="11"/>
  <c r="D33" i="11" s="1"/>
  <c r="M33" i="11"/>
  <c r="M34" i="11" s="1"/>
  <c r="T48" i="16" l="1"/>
  <c r="D49" i="16" s="1"/>
  <c r="K49" i="16" s="1"/>
  <c r="L49" i="16" s="1"/>
  <c r="E47" i="14"/>
  <c r="F47" i="14" s="1"/>
  <c r="S47" i="14" s="1"/>
  <c r="F39" i="36"/>
  <c r="L47" i="18"/>
  <c r="Q47" i="18"/>
  <c r="L47" i="14"/>
  <c r="Q47" i="14"/>
  <c r="D39" i="36"/>
  <c r="T50" i="17"/>
  <c r="D51" i="17" s="1"/>
  <c r="M51" i="14"/>
  <c r="M52" i="14" s="1"/>
  <c r="M51" i="17"/>
  <c r="M52" i="17" s="1"/>
  <c r="E49" i="15"/>
  <c r="F49" i="15" s="1"/>
  <c r="S49" i="15" s="1"/>
  <c r="K49" i="15"/>
  <c r="K33" i="11"/>
  <c r="B25" i="36" s="1"/>
  <c r="E33" i="11"/>
  <c r="F33" i="11" s="1"/>
  <c r="S33" i="11" s="1"/>
  <c r="T47" i="18" l="1"/>
  <c r="D48" i="18" s="1"/>
  <c r="K48" i="18" s="1"/>
  <c r="F40" i="36" s="1"/>
  <c r="G39" i="36"/>
  <c r="E49" i="16"/>
  <c r="F49" i="16" s="1"/>
  <c r="S49" i="16" s="1"/>
  <c r="Q49" i="16"/>
  <c r="Q48" i="18"/>
  <c r="G40" i="36" s="1"/>
  <c r="L48" i="18"/>
  <c r="E48" i="18"/>
  <c r="F48" i="18" s="1"/>
  <c r="S48" i="18" s="1"/>
  <c r="T47" i="14"/>
  <c r="D48" i="14" s="1"/>
  <c r="E39" i="36"/>
  <c r="L49" i="15"/>
  <c r="Q49" i="15"/>
  <c r="T49" i="15" s="1"/>
  <c r="D50" i="15" s="1"/>
  <c r="K51" i="17"/>
  <c r="E51" i="17"/>
  <c r="F51" i="17" s="1"/>
  <c r="S51" i="17" s="1"/>
  <c r="O50" i="16"/>
  <c r="L33" i="11"/>
  <c r="Q33" i="11"/>
  <c r="T48" i="18" l="1"/>
  <c r="D49" i="18" s="1"/>
  <c r="E49" i="18" s="1"/>
  <c r="F49" i="18" s="1"/>
  <c r="S49" i="18" s="1"/>
  <c r="T49" i="16"/>
  <c r="D50" i="16" s="1"/>
  <c r="E50" i="16" s="1"/>
  <c r="F50" i="16" s="1"/>
  <c r="S50" i="16" s="1"/>
  <c r="E48" i="14"/>
  <c r="F48" i="14" s="1"/>
  <c r="S48" i="14" s="1"/>
  <c r="K48" i="14"/>
  <c r="K49" i="18"/>
  <c r="F41" i="36" s="1"/>
  <c r="T33" i="11"/>
  <c r="D34" i="11" s="1"/>
  <c r="E34" i="11" s="1"/>
  <c r="F34" i="11" s="1"/>
  <c r="C25" i="36"/>
  <c r="R50" i="16"/>
  <c r="L51" i="17"/>
  <c r="Q51" i="17"/>
  <c r="K50" i="15"/>
  <c r="E50" i="15"/>
  <c r="F50" i="15" s="1"/>
  <c r="L49" i="18" l="1"/>
  <c r="K50" i="16"/>
  <c r="Q49" i="18"/>
  <c r="T49" i="18" s="1"/>
  <c r="D50" i="18" s="1"/>
  <c r="K50" i="18" s="1"/>
  <c r="F42" i="36" s="1"/>
  <c r="L48" i="14"/>
  <c r="Q48" i="14"/>
  <c r="D40" i="36"/>
  <c r="K34" i="11"/>
  <c r="B26" i="36" s="1"/>
  <c r="T51" i="17"/>
  <c r="D52" i="17" s="1"/>
  <c r="E52" i="17" s="1"/>
  <c r="F52" i="17" s="1"/>
  <c r="M51" i="16"/>
  <c r="M52" i="16" s="1"/>
  <c r="L50" i="15"/>
  <c r="O50" i="15"/>
  <c r="Q50" i="15" s="1"/>
  <c r="R50" i="15" s="1"/>
  <c r="S50" i="15"/>
  <c r="S34" i="11"/>
  <c r="O34" i="11"/>
  <c r="G41" i="36" l="1"/>
  <c r="L50" i="16"/>
  <c r="Q50" i="16"/>
  <c r="T50" i="16" s="1"/>
  <c r="D51" i="16" s="1"/>
  <c r="E51" i="16" s="1"/>
  <c r="F51" i="16" s="1"/>
  <c r="S51" i="16" s="1"/>
  <c r="Q34" i="11"/>
  <c r="R34" i="11" s="1"/>
  <c r="T34" i="11" s="1"/>
  <c r="S52" i="17"/>
  <c r="O52" i="17"/>
  <c r="K52" i="17"/>
  <c r="L52" i="17" s="1"/>
  <c r="T48" i="14"/>
  <c r="D49" i="14" s="1"/>
  <c r="E40" i="36"/>
  <c r="E50" i="18"/>
  <c r="F50" i="18" s="1"/>
  <c r="S50" i="18" s="1"/>
  <c r="L34" i="11"/>
  <c r="C26" i="36"/>
  <c r="O50" i="18"/>
  <c r="Q50" i="18" s="1"/>
  <c r="T50" i="15"/>
  <c r="K51" i="16"/>
  <c r="L50" i="18"/>
  <c r="Q52" i="17" l="1"/>
  <c r="E49" i="14"/>
  <c r="F49" i="14" s="1"/>
  <c r="S49" i="14" s="1"/>
  <c r="K49" i="14"/>
  <c r="R50" i="18"/>
  <c r="T50" i="18" s="1"/>
  <c r="G42" i="36"/>
  <c r="R52" i="17"/>
  <c r="T52" i="17" s="1"/>
  <c r="Q51" i="16"/>
  <c r="L51" i="16"/>
  <c r="D51" i="15"/>
  <c r="M51" i="15"/>
  <c r="M52" i="15" s="1"/>
  <c r="D35" i="11"/>
  <c r="M35" i="11"/>
  <c r="D53" i="17" l="1"/>
  <c r="E53" i="17" s="1"/>
  <c r="F53" i="17" s="1"/>
  <c r="S53" i="17" s="1"/>
  <c r="M53" i="17"/>
  <c r="M54" i="17" s="1"/>
  <c r="M55" i="17" s="1"/>
  <c r="D41" i="36"/>
  <c r="Q49" i="14"/>
  <c r="L49" i="14"/>
  <c r="T51" i="16"/>
  <c r="D52" i="16" s="1"/>
  <c r="K52" i="16" s="1"/>
  <c r="K53" i="17"/>
  <c r="K51" i="15"/>
  <c r="E51" i="15"/>
  <c r="F51" i="15" s="1"/>
  <c r="D51" i="18"/>
  <c r="M51" i="18"/>
  <c r="M52" i="18" s="1"/>
  <c r="E35" i="11"/>
  <c r="F35" i="11" s="1"/>
  <c r="K35" i="11"/>
  <c r="B27" i="36" s="1"/>
  <c r="T49" i="14" l="1"/>
  <c r="D50" i="14" s="1"/>
  <c r="E41" i="36"/>
  <c r="E52" i="16"/>
  <c r="F52" i="16" s="1"/>
  <c r="L53" i="17"/>
  <c r="L52" i="16"/>
  <c r="S35" i="11"/>
  <c r="O35" i="11"/>
  <c r="Q35" i="11" s="1"/>
  <c r="C27" i="36" s="1"/>
  <c r="Q53" i="17"/>
  <c r="E51" i="18"/>
  <c r="F51" i="18" s="1"/>
  <c r="S51" i="18" s="1"/>
  <c r="K51" i="18"/>
  <c r="F43" i="36" s="1"/>
  <c r="L51" i="15"/>
  <c r="Q51" i="15"/>
  <c r="S51" i="15"/>
  <c r="L35" i="11"/>
  <c r="R35" i="11" l="1"/>
  <c r="T35" i="11" s="1"/>
  <c r="S52" i="16"/>
  <c r="O52" i="16"/>
  <c r="Q52" i="16" s="1"/>
  <c r="R52" i="16"/>
  <c r="K50" i="14"/>
  <c r="E50" i="14"/>
  <c r="F50" i="14" s="1"/>
  <c r="T53" i="17"/>
  <c r="D54" i="17" s="1"/>
  <c r="E54" i="17" s="1"/>
  <c r="F54" i="17" s="1"/>
  <c r="S54" i="17" s="1"/>
  <c r="T51" i="15"/>
  <c r="D52" i="15" s="1"/>
  <c r="E52" i="15" s="1"/>
  <c r="F52" i="15" s="1"/>
  <c r="L51" i="18"/>
  <c r="Q51" i="18"/>
  <c r="T52" i="16" l="1"/>
  <c r="D53" i="16"/>
  <c r="K53" i="16" s="1"/>
  <c r="Q53" i="16" s="1"/>
  <c r="M53" i="16"/>
  <c r="M54" i="16" s="1"/>
  <c r="M55" i="16" s="1"/>
  <c r="O52" i="15"/>
  <c r="K54" i="17"/>
  <c r="L54" i="17" s="1"/>
  <c r="S50" i="14"/>
  <c r="L50" i="14"/>
  <c r="D42" i="36"/>
  <c r="Q50" i="14"/>
  <c r="E42" i="36" s="1"/>
  <c r="T51" i="18"/>
  <c r="D52" i="18" s="1"/>
  <c r="E52" i="18" s="1"/>
  <c r="F52" i="18" s="1"/>
  <c r="O52" i="18" s="1"/>
  <c r="G43" i="36"/>
  <c r="D36" i="11"/>
  <c r="M36" i="11"/>
  <c r="M37" i="11" s="1"/>
  <c r="K52" i="15"/>
  <c r="L52" i="15" s="1"/>
  <c r="S52" i="15"/>
  <c r="E43" i="9"/>
  <c r="L53" i="16" l="1"/>
  <c r="E53" i="16"/>
  <c r="F53" i="16" s="1"/>
  <c r="S53" i="16" s="1"/>
  <c r="Q54" i="17"/>
  <c r="T54" i="17" s="1"/>
  <c r="D55" i="17" s="1"/>
  <c r="E55" i="17" s="1"/>
  <c r="F55" i="17" s="1"/>
  <c r="K52" i="18"/>
  <c r="Q52" i="18" s="1"/>
  <c r="T50" i="14"/>
  <c r="D51" i="14" s="1"/>
  <c r="T53" i="16"/>
  <c r="D54" i="16" s="1"/>
  <c r="E54" i="16" s="1"/>
  <c r="F54" i="16" s="1"/>
  <c r="Q52" i="15"/>
  <c r="E36" i="11"/>
  <c r="F36" i="11" s="1"/>
  <c r="K36" i="11"/>
  <c r="B28" i="36" s="1"/>
  <c r="S52" i="18"/>
  <c r="F44" i="36" l="1"/>
  <c r="L52" i="18"/>
  <c r="S55" i="17"/>
  <c r="O55" i="17"/>
  <c r="R52" i="15"/>
  <c r="T52" i="15" s="1"/>
  <c r="K51" i="14"/>
  <c r="E51" i="14"/>
  <c r="F51" i="14" s="1"/>
  <c r="S51" i="14" s="1"/>
  <c r="K54" i="16"/>
  <c r="Q54" i="16" s="1"/>
  <c r="K55" i="17"/>
  <c r="R52" i="18"/>
  <c r="T52" i="18" s="1"/>
  <c r="G44" i="36"/>
  <c r="Q36" i="11"/>
  <c r="C28" i="36" s="1"/>
  <c r="L36" i="11"/>
  <c r="S36" i="11"/>
  <c r="S54" i="16"/>
  <c r="Q55" i="17" l="1"/>
  <c r="R55" i="17" s="1"/>
  <c r="D53" i="15"/>
  <c r="M53" i="15"/>
  <c r="M54" i="15" s="1"/>
  <c r="M55" i="15" s="1"/>
  <c r="D53" i="18"/>
  <c r="M53" i="18"/>
  <c r="M54" i="18" s="1"/>
  <c r="M55" i="18" s="1"/>
  <c r="L54" i="16"/>
  <c r="D43" i="36"/>
  <c r="Q51" i="14"/>
  <c r="L51" i="14"/>
  <c r="L55" i="17"/>
  <c r="T36" i="11"/>
  <c r="D37" i="11" s="1"/>
  <c r="E37" i="11" s="1"/>
  <c r="F37" i="11" s="1"/>
  <c r="T54" i="16"/>
  <c r="D55" i="16" s="1"/>
  <c r="E55" i="16" s="1"/>
  <c r="F55" i="16" s="1"/>
  <c r="K53" i="18"/>
  <c r="E53" i="18"/>
  <c r="F53" i="18" s="1"/>
  <c r="S53" i="18" s="1"/>
  <c r="T55" i="17" l="1"/>
  <c r="S37" i="11"/>
  <c r="O37" i="11"/>
  <c r="O55" i="16"/>
  <c r="D56" i="17"/>
  <c r="E56" i="17" s="1"/>
  <c r="F56" i="17" s="1"/>
  <c r="S56" i="17" s="1"/>
  <c r="M56" i="17"/>
  <c r="M57" i="17" s="1"/>
  <c r="M58" i="17" s="1"/>
  <c r="K53" i="15"/>
  <c r="E53" i="15"/>
  <c r="F53" i="15" s="1"/>
  <c r="T51" i="14"/>
  <c r="D52" i="14" s="1"/>
  <c r="E43" i="36"/>
  <c r="K37" i="11"/>
  <c r="B29" i="36" s="1"/>
  <c r="K55" i="16"/>
  <c r="Q53" i="18"/>
  <c r="L53" i="18"/>
  <c r="S55" i="16"/>
  <c r="K56" i="17" l="1"/>
  <c r="Q56" i="17" s="1"/>
  <c r="T56" i="17" s="1"/>
  <c r="D57" i="17" s="1"/>
  <c r="K57" i="17" s="1"/>
  <c r="Q57" i="17" s="1"/>
  <c r="Q53" i="15"/>
  <c r="G45" i="36" s="1"/>
  <c r="L53" i="15"/>
  <c r="S53" i="15"/>
  <c r="F45" i="36"/>
  <c r="E52" i="14"/>
  <c r="F52" i="14" s="1"/>
  <c r="O52" i="14" s="1"/>
  <c r="K52" i="14"/>
  <c r="Q37" i="11"/>
  <c r="C29" i="36" s="1"/>
  <c r="L37" i="11"/>
  <c r="L55" i="16"/>
  <c r="Q55" i="16"/>
  <c r="T53" i="18"/>
  <c r="D54" i="18" s="1"/>
  <c r="K54" i="18" s="1"/>
  <c r="O38" i="11"/>
  <c r="R37" i="11" l="1"/>
  <c r="T37" i="11" s="1"/>
  <c r="E57" i="17"/>
  <c r="F57" i="17" s="1"/>
  <c r="S57" i="17" s="1"/>
  <c r="L56" i="17"/>
  <c r="L57" i="17" s="1"/>
  <c r="T53" i="15"/>
  <c r="D54" i="15" s="1"/>
  <c r="K54" i="15" s="1"/>
  <c r="F46" i="36" s="1"/>
  <c r="R55" i="16"/>
  <c r="T55" i="16" s="1"/>
  <c r="Q52" i="14"/>
  <c r="L52" i="14"/>
  <c r="D44" i="36"/>
  <c r="S52" i="14"/>
  <c r="E54" i="18"/>
  <c r="F54" i="18" s="1"/>
  <c r="S54" i="18" s="1"/>
  <c r="R38" i="11"/>
  <c r="Q54" i="18"/>
  <c r="L54" i="18"/>
  <c r="D38" i="11" l="1"/>
  <c r="E38" i="11" s="1"/>
  <c r="F38" i="11" s="1"/>
  <c r="S38" i="11" s="1"/>
  <c r="M38" i="11"/>
  <c r="M39" i="11" s="1"/>
  <c r="M40" i="11" s="1"/>
  <c r="T57" i="17"/>
  <c r="D58" i="17" s="1"/>
  <c r="E58" i="17" s="1"/>
  <c r="F58" i="17" s="1"/>
  <c r="E54" i="15"/>
  <c r="F54" i="15" s="1"/>
  <c r="S54" i="15" s="1"/>
  <c r="D56" i="16"/>
  <c r="M56" i="16"/>
  <c r="M57" i="16" s="1"/>
  <c r="M58" i="16" s="1"/>
  <c r="Q54" i="15"/>
  <c r="L54" i="15"/>
  <c r="R52" i="14"/>
  <c r="T52" i="14" s="1"/>
  <c r="E44" i="36"/>
  <c r="T54" i="18"/>
  <c r="D55" i="18" s="1"/>
  <c r="E55" i="18" s="1"/>
  <c r="F55" i="18" s="1"/>
  <c r="S58" i="17"/>
  <c r="O58" i="17"/>
  <c r="K58" i="17" l="1"/>
  <c r="K38" i="11"/>
  <c r="T54" i="15"/>
  <c r="D55" i="15" s="1"/>
  <c r="E55" i="15" s="1"/>
  <c r="F55" i="15" s="1"/>
  <c r="S55" i="18"/>
  <c r="O55" i="18"/>
  <c r="K56" i="16"/>
  <c r="E56" i="16"/>
  <c r="F56" i="16" s="1"/>
  <c r="G46" i="36"/>
  <c r="D53" i="14"/>
  <c r="E53" i="14" s="1"/>
  <c r="F53" i="14" s="1"/>
  <c r="M53" i="14"/>
  <c r="M54" i="14" s="1"/>
  <c r="M55" i="14" s="1"/>
  <c r="K55" i="18"/>
  <c r="B30" i="36"/>
  <c r="L38" i="11"/>
  <c r="Q38" i="11"/>
  <c r="L58" i="17"/>
  <c r="Q58" i="17"/>
  <c r="R58" i="17" s="1"/>
  <c r="T58" i="17" s="1"/>
  <c r="K55" i="15" l="1"/>
  <c r="F47" i="36" s="1"/>
  <c r="K53" i="14"/>
  <c r="Q53" i="14" s="1"/>
  <c r="E45" i="36" s="1"/>
  <c r="S55" i="15"/>
  <c r="O55" i="15"/>
  <c r="S56" i="16"/>
  <c r="L56" i="16"/>
  <c r="Q56" i="16"/>
  <c r="Q55" i="18"/>
  <c r="R55" i="18" s="1"/>
  <c r="L55" i="18"/>
  <c r="C30" i="36"/>
  <c r="T38" i="11"/>
  <c r="D39" i="11" s="1"/>
  <c r="S53" i="14"/>
  <c r="L53" i="14"/>
  <c r="D45" i="36"/>
  <c r="M59" i="17"/>
  <c r="M60" i="17" s="1"/>
  <c r="D59" i="17"/>
  <c r="T56" i="16" l="1"/>
  <c r="D57" i="16" s="1"/>
  <c r="K57" i="16" s="1"/>
  <c r="Q55" i="15"/>
  <c r="G47" i="36" s="1"/>
  <c r="L55" i="15"/>
  <c r="T55" i="18"/>
  <c r="R55" i="15"/>
  <c r="L6" i="17"/>
  <c r="M61" i="17"/>
  <c r="M62" i="17" s="1"/>
  <c r="M63" i="17" s="1"/>
  <c r="M64" i="17" s="1"/>
  <c r="T53" i="14"/>
  <c r="D54" i="14" s="1"/>
  <c r="E39" i="11"/>
  <c r="F39" i="11" s="1"/>
  <c r="K39" i="11"/>
  <c r="O58" i="16"/>
  <c r="K59" i="17"/>
  <c r="E59" i="17"/>
  <c r="F59" i="17" s="1"/>
  <c r="S59" i="17" s="1"/>
  <c r="T55" i="15" l="1"/>
  <c r="E57" i="16"/>
  <c r="F57" i="16" s="1"/>
  <c r="S57" i="16" s="1"/>
  <c r="D56" i="15"/>
  <c r="M56" i="15"/>
  <c r="M57" i="15" s="1"/>
  <c r="M58" i="15" s="1"/>
  <c r="D56" i="18"/>
  <c r="M56" i="18"/>
  <c r="M57" i="18" s="1"/>
  <c r="M58" i="18" s="1"/>
  <c r="L57" i="16"/>
  <c r="Q57" i="16"/>
  <c r="B31" i="36"/>
  <c r="Q39" i="11"/>
  <c r="C31" i="36" s="1"/>
  <c r="L39" i="11"/>
  <c r="S39" i="11"/>
  <c r="E54" i="14"/>
  <c r="F54" i="14" s="1"/>
  <c r="S54" i="14" s="1"/>
  <c r="K54" i="14"/>
  <c r="L59" i="17"/>
  <c r="Q59" i="17"/>
  <c r="T39" i="11" l="1"/>
  <c r="D40" i="11" s="1"/>
  <c r="K40" i="11" s="1"/>
  <c r="T57" i="16"/>
  <c r="D58" i="16" s="1"/>
  <c r="E58" i="16" s="1"/>
  <c r="F58" i="16" s="1"/>
  <c r="S58" i="16" s="1"/>
  <c r="K56" i="18"/>
  <c r="E56" i="18"/>
  <c r="F56" i="18" s="1"/>
  <c r="K56" i="15"/>
  <c r="E56" i="15"/>
  <c r="F56" i="15" s="1"/>
  <c r="S56" i="15" s="1"/>
  <c r="Q54" i="14"/>
  <c r="D46" i="36"/>
  <c r="L54" i="14"/>
  <c r="T59" i="17"/>
  <c r="D60" i="17" s="1"/>
  <c r="E60" i="17" s="1"/>
  <c r="F60" i="17" s="1"/>
  <c r="E40" i="11" l="1"/>
  <c r="F40" i="11" s="1"/>
  <c r="K58" i="16"/>
  <c r="F48" i="36"/>
  <c r="L56" i="15"/>
  <c r="Q56" i="15"/>
  <c r="L58" i="16"/>
  <c r="Q58" i="16"/>
  <c r="S56" i="18"/>
  <c r="Q56" i="18"/>
  <c r="L56" i="18"/>
  <c r="S40" i="11"/>
  <c r="O40" i="11"/>
  <c r="Q40" i="11" s="1"/>
  <c r="C32" i="36" s="1"/>
  <c r="M59" i="16"/>
  <c r="M60" i="16" s="1"/>
  <c r="T54" i="14"/>
  <c r="D55" i="14" s="1"/>
  <c r="E46" i="36"/>
  <c r="B32" i="36"/>
  <c r="L40" i="11"/>
  <c r="K60" i="17"/>
  <c r="L60" i="17" s="1"/>
  <c r="O6" i="17" s="1"/>
  <c r="S60" i="17"/>
  <c r="T56" i="18" l="1"/>
  <c r="D57" i="18" s="1"/>
  <c r="E57" i="18" s="1"/>
  <c r="F57" i="18" s="1"/>
  <c r="R58" i="16"/>
  <c r="T58" i="16" s="1"/>
  <c r="D59" i="16" s="1"/>
  <c r="K59" i="16" s="1"/>
  <c r="T56" i="15"/>
  <c r="D57" i="15" s="1"/>
  <c r="G48" i="36"/>
  <c r="R40" i="11"/>
  <c r="T40" i="11" s="1"/>
  <c r="L6" i="16"/>
  <c r="M61" i="16"/>
  <c r="M62" i="16" s="1"/>
  <c r="M63" i="16" s="1"/>
  <c r="M64" i="16" s="1"/>
  <c r="O58" i="18"/>
  <c r="Q60" i="17"/>
  <c r="T60" i="17" s="1"/>
  <c r="E55" i="14"/>
  <c r="F55" i="14" s="1"/>
  <c r="K55" i="14"/>
  <c r="K57" i="18" l="1"/>
  <c r="K57" i="15"/>
  <c r="E57" i="15"/>
  <c r="F57" i="15" s="1"/>
  <c r="S57" i="15" s="1"/>
  <c r="E59" i="16"/>
  <c r="F59" i="16" s="1"/>
  <c r="S59" i="16" s="1"/>
  <c r="L57" i="18"/>
  <c r="Q57" i="18"/>
  <c r="S55" i="14"/>
  <c r="O55" i="14"/>
  <c r="Q55" i="14" s="1"/>
  <c r="R55" i="14" s="1"/>
  <c r="S57" i="18"/>
  <c r="Q59" i="16"/>
  <c r="L59" i="16"/>
  <c r="D41" i="11"/>
  <c r="M41" i="11"/>
  <c r="M42" i="11" s="1"/>
  <c r="O58" i="15"/>
  <c r="D61" i="17"/>
  <c r="D47" i="36"/>
  <c r="L55" i="14"/>
  <c r="F49" i="36" l="1"/>
  <c r="T57" i="18"/>
  <c r="D58" i="18" s="1"/>
  <c r="E58" i="18" s="1"/>
  <c r="F58" i="18" s="1"/>
  <c r="S58" i="18" s="1"/>
  <c r="T59" i="16"/>
  <c r="D60" i="16" s="1"/>
  <c r="K60" i="16" s="1"/>
  <c r="L60" i="16" s="1"/>
  <c r="O6" i="16" s="1"/>
  <c r="Q57" i="15"/>
  <c r="L57" i="15"/>
  <c r="M59" i="15"/>
  <c r="M60" i="15" s="1"/>
  <c r="K41" i="11"/>
  <c r="E41" i="11"/>
  <c r="F41" i="11" s="1"/>
  <c r="S41" i="11" s="1"/>
  <c r="R58" i="18"/>
  <c r="E61" i="17"/>
  <c r="F61" i="17" s="1"/>
  <c r="S61" i="17" s="1"/>
  <c r="K61" i="17"/>
  <c r="T55" i="14"/>
  <c r="E47" i="36"/>
  <c r="E60" i="16" l="1"/>
  <c r="F60" i="16" s="1"/>
  <c r="S60" i="16" s="1"/>
  <c r="K58" i="18"/>
  <c r="Q58" i="18" s="1"/>
  <c r="T58" i="18" s="1"/>
  <c r="D59" i="18" s="1"/>
  <c r="Q60" i="16"/>
  <c r="T57" i="15"/>
  <c r="D58" i="15" s="1"/>
  <c r="G49" i="36"/>
  <c r="L58" i="18"/>
  <c r="T60" i="16"/>
  <c r="D61" i="16" s="1"/>
  <c r="D56" i="14"/>
  <c r="K56" i="14" s="1"/>
  <c r="M56" i="14"/>
  <c r="M57" i="14" s="1"/>
  <c r="M58" i="14" s="1"/>
  <c r="M59" i="18"/>
  <c r="M60" i="18" s="1"/>
  <c r="B33" i="36"/>
  <c r="L41" i="11"/>
  <c r="Q41" i="11"/>
  <c r="L6" i="15"/>
  <c r="M61" i="15"/>
  <c r="M62" i="15" s="1"/>
  <c r="M63" i="15" s="1"/>
  <c r="M64" i="15" s="1"/>
  <c r="L61" i="17"/>
  <c r="Q61" i="17"/>
  <c r="T61" i="17" s="1"/>
  <c r="D62" i="17" s="1"/>
  <c r="O42" i="11"/>
  <c r="K59" i="18" l="1"/>
  <c r="Q59" i="18" s="1"/>
  <c r="E59" i="18"/>
  <c r="F59" i="18" s="1"/>
  <c r="S59" i="18" s="1"/>
  <c r="E56" i="14"/>
  <c r="F56" i="14" s="1"/>
  <c r="S56" i="14" s="1"/>
  <c r="K58" i="15"/>
  <c r="E58" i="15"/>
  <c r="F58" i="15" s="1"/>
  <c r="S58" i="15" s="1"/>
  <c r="M61" i="18"/>
  <c r="M62" i="18" s="1"/>
  <c r="M63" i="18" s="1"/>
  <c r="M64" i="18" s="1"/>
  <c r="L6" i="18"/>
  <c r="C33" i="36"/>
  <c r="T41" i="11"/>
  <c r="D42" i="11" s="1"/>
  <c r="E61" i="16"/>
  <c r="F61" i="16" s="1"/>
  <c r="S61" i="16" s="1"/>
  <c r="K61" i="16"/>
  <c r="K62" i="17"/>
  <c r="E62" i="17"/>
  <c r="F62" i="17" s="1"/>
  <c r="S62" i="17" s="1"/>
  <c r="D48" i="36"/>
  <c r="Q56" i="14"/>
  <c r="L56" i="14"/>
  <c r="R42" i="11"/>
  <c r="T59" i="18" l="1"/>
  <c r="D60" i="18" s="1"/>
  <c r="K60" i="18" s="1"/>
  <c r="L59" i="18"/>
  <c r="L58" i="15"/>
  <c r="Q58" i="15"/>
  <c r="F50" i="36"/>
  <c r="K42" i="11"/>
  <c r="E42" i="11"/>
  <c r="F42" i="11" s="1"/>
  <c r="S42" i="11" s="1"/>
  <c r="Q62" i="17"/>
  <c r="T62" i="17" s="1"/>
  <c r="D63" i="17" s="1"/>
  <c r="L62" i="17"/>
  <c r="L61" i="16"/>
  <c r="Q61" i="16"/>
  <c r="T61" i="16" s="1"/>
  <c r="D62" i="16" s="1"/>
  <c r="T56" i="14"/>
  <c r="D57" i="14" s="1"/>
  <c r="E48" i="36"/>
  <c r="M43" i="11"/>
  <c r="M44" i="11" s="1"/>
  <c r="M45" i="11" s="1"/>
  <c r="M46" i="11" s="1"/>
  <c r="E60" i="18" l="1"/>
  <c r="F60" i="18" s="1"/>
  <c r="R58" i="15"/>
  <c r="T58" i="15" s="1"/>
  <c r="D59" i="15" s="1"/>
  <c r="G50" i="36"/>
  <c r="B34" i="36"/>
  <c r="L42" i="11"/>
  <c r="Q42" i="11"/>
  <c r="K62" i="16"/>
  <c r="E62" i="16"/>
  <c r="F62" i="16" s="1"/>
  <c r="S62" i="16" s="1"/>
  <c r="E63" i="17"/>
  <c r="F63" i="17" s="1"/>
  <c r="S63" i="17" s="1"/>
  <c r="K63" i="17"/>
  <c r="E57" i="14"/>
  <c r="F57" i="14" s="1"/>
  <c r="S57" i="14" s="1"/>
  <c r="K57" i="14"/>
  <c r="Q60" i="18"/>
  <c r="L60" i="18"/>
  <c r="O6" i="18" s="1"/>
  <c r="S60" i="18"/>
  <c r="E59" i="15" l="1"/>
  <c r="F59" i="15" s="1"/>
  <c r="K59" i="15"/>
  <c r="C34" i="36"/>
  <c r="T42" i="11"/>
  <c r="D43" i="11" s="1"/>
  <c r="Q62" i="16"/>
  <c r="T62" i="16" s="1"/>
  <c r="D63" i="16" s="1"/>
  <c r="L62" i="16"/>
  <c r="T60" i="18"/>
  <c r="L63" i="17"/>
  <c r="Q63" i="17"/>
  <c r="T63" i="17" s="1"/>
  <c r="D64" i="17" s="1"/>
  <c r="D49" i="36"/>
  <c r="Q57" i="14"/>
  <c r="L57" i="14"/>
  <c r="F51" i="36" l="1"/>
  <c r="Q59" i="15"/>
  <c r="G51" i="36" s="1"/>
  <c r="L59" i="15"/>
  <c r="S59" i="15"/>
  <c r="K43" i="11"/>
  <c r="E43" i="11"/>
  <c r="F43" i="11" s="1"/>
  <c r="S43" i="11" s="1"/>
  <c r="K64" i="17"/>
  <c r="E64" i="17"/>
  <c r="F64" i="17" s="1"/>
  <c r="D61" i="18"/>
  <c r="E63" i="16"/>
  <c r="F63" i="16" s="1"/>
  <c r="S63" i="16" s="1"/>
  <c r="K63" i="16"/>
  <c r="T57" i="14"/>
  <c r="D58" i="14" s="1"/>
  <c r="E49" i="36"/>
  <c r="T59" i="15" l="1"/>
  <c r="D60" i="15" s="1"/>
  <c r="E60" i="15" s="1"/>
  <c r="F60" i="15" s="1"/>
  <c r="S64" i="17"/>
  <c r="O64" i="17"/>
  <c r="Q64" i="17" s="1"/>
  <c r="B35" i="36"/>
  <c r="Q43" i="11"/>
  <c r="L43" i="11"/>
  <c r="E61" i="18"/>
  <c r="F61" i="18" s="1"/>
  <c r="S61" i="18" s="1"/>
  <c r="K61" i="18"/>
  <c r="Q63" i="16"/>
  <c r="T63" i="16" s="1"/>
  <c r="D64" i="16" s="1"/>
  <c r="L63" i="16"/>
  <c r="L64" i="17"/>
  <c r="E58" i="14"/>
  <c r="F58" i="14" s="1"/>
  <c r="O58" i="14" s="1"/>
  <c r="K58" i="14"/>
  <c r="K60" i="15" l="1"/>
  <c r="F52" i="36" s="1"/>
  <c r="S60" i="15"/>
  <c r="T43" i="11"/>
  <c r="D44" i="11" s="1"/>
  <c r="C35" i="36"/>
  <c r="R64" i="17"/>
  <c r="T64" i="17" s="1"/>
  <c r="E64" i="16"/>
  <c r="F64" i="16" s="1"/>
  <c r="K64" i="16"/>
  <c r="L61" i="18"/>
  <c r="Q61" i="18"/>
  <c r="T61" i="18" s="1"/>
  <c r="D62" i="18" s="1"/>
  <c r="L58" i="14"/>
  <c r="Q58" i="14"/>
  <c r="D50" i="36"/>
  <c r="S58" i="14"/>
  <c r="L60" i="15" l="1"/>
  <c r="O6" i="15" s="1"/>
  <c r="Q60" i="15"/>
  <c r="G52" i="36" s="1"/>
  <c r="K44" i="11"/>
  <c r="E44" i="11"/>
  <c r="F44" i="11" s="1"/>
  <c r="S44" i="11" s="1"/>
  <c r="O64" i="16"/>
  <c r="Q64" i="16" s="1"/>
  <c r="R64" i="16" s="1"/>
  <c r="D65" i="17"/>
  <c r="M65" i="17"/>
  <c r="M66" i="17" s="1"/>
  <c r="M67" i="17" s="1"/>
  <c r="M68" i="17" s="1"/>
  <c r="M69" i="17" s="1"/>
  <c r="M70" i="17" s="1"/>
  <c r="K62" i="18"/>
  <c r="E62" i="18"/>
  <c r="F62" i="18" s="1"/>
  <c r="S62" i="18" s="1"/>
  <c r="L64" i="16"/>
  <c r="S64" i="16"/>
  <c r="R58" i="14"/>
  <c r="T58" i="14" s="1"/>
  <c r="E50" i="36"/>
  <c r="T60" i="15" l="1"/>
  <c r="D61" i="15" s="1"/>
  <c r="K61" i="15" s="1"/>
  <c r="L61" i="15" s="1"/>
  <c r="K65" i="17"/>
  <c r="E65" i="17"/>
  <c r="F65" i="17" s="1"/>
  <c r="S65" i="17" s="1"/>
  <c r="D59" i="14"/>
  <c r="E59" i="14" s="1"/>
  <c r="F59" i="14" s="1"/>
  <c r="S59" i="14" s="1"/>
  <c r="M59" i="14"/>
  <c r="M60" i="14" s="1"/>
  <c r="T64" i="16"/>
  <c r="Q44" i="11"/>
  <c r="C36" i="36" s="1"/>
  <c r="B36" i="36"/>
  <c r="L44" i="11"/>
  <c r="L62" i="18"/>
  <c r="Q62" i="18"/>
  <c r="T62" i="18" s="1"/>
  <c r="D63" i="18" s="1"/>
  <c r="Q61" i="15" l="1"/>
  <c r="F53" i="36"/>
  <c r="E61" i="15"/>
  <c r="F61" i="15" s="1"/>
  <c r="S61" i="15" s="1"/>
  <c r="G53" i="36"/>
  <c r="K59" i="14"/>
  <c r="Q59" i="14" s="1"/>
  <c r="T44" i="11"/>
  <c r="D45" i="11" s="1"/>
  <c r="K45" i="11" s="1"/>
  <c r="D65" i="16"/>
  <c r="M65" i="16"/>
  <c r="M66" i="16" s="1"/>
  <c r="M67" i="16" s="1"/>
  <c r="M68" i="16" s="1"/>
  <c r="M69" i="16" s="1"/>
  <c r="M70" i="16" s="1"/>
  <c r="L6" i="14"/>
  <c r="M61" i="14"/>
  <c r="M62" i="14" s="1"/>
  <c r="M63" i="14" s="1"/>
  <c r="M64" i="14" s="1"/>
  <c r="L65" i="17"/>
  <c r="Q65" i="17"/>
  <c r="T65" i="17" s="1"/>
  <c r="D66" i="17" s="1"/>
  <c r="K63" i="18"/>
  <c r="E63" i="18"/>
  <c r="F63" i="18" s="1"/>
  <c r="L59" i="14" l="1"/>
  <c r="T61" i="15"/>
  <c r="D62" i="15" s="1"/>
  <c r="K62" i="15" s="1"/>
  <c r="D51" i="36"/>
  <c r="E45" i="11"/>
  <c r="F45" i="11" s="1"/>
  <c r="S45" i="11" s="1"/>
  <c r="E65" i="16"/>
  <c r="F65" i="16" s="1"/>
  <c r="S65" i="16" s="1"/>
  <c r="K65" i="16"/>
  <c r="K66" i="17"/>
  <c r="E66" i="17"/>
  <c r="F66" i="17" s="1"/>
  <c r="S66" i="17" s="1"/>
  <c r="B37" i="36"/>
  <c r="L45" i="11"/>
  <c r="Q45" i="11"/>
  <c r="S63" i="18"/>
  <c r="Q63" i="18"/>
  <c r="T63" i="18" s="1"/>
  <c r="D64" i="18" s="1"/>
  <c r="L63" i="18"/>
  <c r="T59" i="14"/>
  <c r="D60" i="14" s="1"/>
  <c r="E51" i="36"/>
  <c r="E62" i="15" l="1"/>
  <c r="F62" i="15" s="1"/>
  <c r="S62" i="15" s="1"/>
  <c r="F54" i="36"/>
  <c r="Q62" i="15"/>
  <c r="G54" i="36" s="1"/>
  <c r="L62" i="15"/>
  <c r="T45" i="11"/>
  <c r="D46" i="11" s="1"/>
  <c r="C37" i="36"/>
  <c r="L66" i="17"/>
  <c r="Q66" i="17"/>
  <c r="T66" i="17" s="1"/>
  <c r="D67" i="17" s="1"/>
  <c r="L65" i="16"/>
  <c r="Q65" i="16"/>
  <c r="T65" i="16" s="1"/>
  <c r="D66" i="16" s="1"/>
  <c r="K64" i="18"/>
  <c r="E64" i="18"/>
  <c r="F64" i="18" s="1"/>
  <c r="E60" i="14"/>
  <c r="F60" i="14" s="1"/>
  <c r="S60" i="14" s="1"/>
  <c r="K60" i="14"/>
  <c r="T62" i="15" l="1"/>
  <c r="D63" i="15" s="1"/>
  <c r="K67" i="17"/>
  <c r="E67" i="17"/>
  <c r="F67" i="17" s="1"/>
  <c r="S67" i="17" s="1"/>
  <c r="S64" i="18"/>
  <c r="O64" i="18"/>
  <c r="Q64" i="18" s="1"/>
  <c r="R64" i="18" s="1"/>
  <c r="E66" i="16"/>
  <c r="F66" i="16" s="1"/>
  <c r="S66" i="16" s="1"/>
  <c r="K66" i="16"/>
  <c r="K46" i="11"/>
  <c r="E46" i="11"/>
  <c r="F46" i="11" s="1"/>
  <c r="L64" i="18"/>
  <c r="Q60" i="14"/>
  <c r="L60" i="14"/>
  <c r="O6" i="14" s="1"/>
  <c r="D52" i="36"/>
  <c r="K63" i="15" l="1"/>
  <c r="E63" i="15"/>
  <c r="F63" i="15" s="1"/>
  <c r="T64" i="18"/>
  <c r="S46" i="11"/>
  <c r="O46" i="11"/>
  <c r="Q46" i="11" s="1"/>
  <c r="Q66" i="16"/>
  <c r="T66" i="16" s="1"/>
  <c r="D67" i="16" s="1"/>
  <c r="L66" i="16"/>
  <c r="L46" i="11"/>
  <c r="B38" i="36"/>
  <c r="Q67" i="17"/>
  <c r="T67" i="17" s="1"/>
  <c r="D68" i="17" s="1"/>
  <c r="L67" i="17"/>
  <c r="T60" i="14"/>
  <c r="E52" i="36"/>
  <c r="S63" i="15" l="1"/>
  <c r="L63" i="15"/>
  <c r="F55" i="36"/>
  <c r="Q63" i="15"/>
  <c r="G55" i="36" s="1"/>
  <c r="C38" i="36"/>
  <c r="R46" i="11"/>
  <c r="T46" i="11" s="1"/>
  <c r="E68" i="17"/>
  <c r="F68" i="17" s="1"/>
  <c r="S68" i="17" s="1"/>
  <c r="K68" i="17"/>
  <c r="D65" i="18"/>
  <c r="M65" i="18"/>
  <c r="M66" i="18" s="1"/>
  <c r="M67" i="18" s="1"/>
  <c r="M68" i="18" s="1"/>
  <c r="M69" i="18" s="1"/>
  <c r="M70" i="18" s="1"/>
  <c r="E67" i="16"/>
  <c r="F67" i="16" s="1"/>
  <c r="S67" i="16" s="1"/>
  <c r="K67" i="16"/>
  <c r="O64" i="15"/>
  <c r="D61" i="14"/>
  <c r="T63" i="15" l="1"/>
  <c r="D64" i="15" s="1"/>
  <c r="D47" i="11"/>
  <c r="M47" i="11"/>
  <c r="M48" i="11" s="1"/>
  <c r="M49" i="11" s="1"/>
  <c r="M50" i="11" s="1"/>
  <c r="E65" i="18"/>
  <c r="F65" i="18" s="1"/>
  <c r="S65" i="18" s="1"/>
  <c r="K65" i="18"/>
  <c r="L68" i="17"/>
  <c r="Q68" i="17"/>
  <c r="T68" i="17" s="1"/>
  <c r="D69" i="17" s="1"/>
  <c r="R64" i="15"/>
  <c r="Q67" i="16"/>
  <c r="T67" i="16" s="1"/>
  <c r="D68" i="16" s="1"/>
  <c r="L67" i="16"/>
  <c r="E61" i="14"/>
  <c r="F61" i="14" s="1"/>
  <c r="K61" i="14"/>
  <c r="K64" i="15" l="1"/>
  <c r="E64" i="15"/>
  <c r="F64" i="15" s="1"/>
  <c r="K69" i="17"/>
  <c r="E69" i="17"/>
  <c r="F69" i="17" s="1"/>
  <c r="S69" i="17" s="1"/>
  <c r="M65" i="15"/>
  <c r="M66" i="15" s="1"/>
  <c r="M67" i="15" s="1"/>
  <c r="M68" i="15" s="1"/>
  <c r="M69" i="15" s="1"/>
  <c r="M70" i="15" s="1"/>
  <c r="L65" i="18"/>
  <c r="Q65" i="18"/>
  <c r="T65" i="18" s="1"/>
  <c r="D66" i="18" s="1"/>
  <c r="K68" i="16"/>
  <c r="E68" i="16"/>
  <c r="F68" i="16" s="1"/>
  <c r="E47" i="11"/>
  <c r="F47" i="11" s="1"/>
  <c r="K47" i="11"/>
  <c r="D53" i="36"/>
  <c r="L61" i="14"/>
  <c r="Q61" i="14"/>
  <c r="E53" i="36" s="1"/>
  <c r="S61" i="14"/>
  <c r="S64" i="15" l="1"/>
  <c r="Q64" i="15"/>
  <c r="G56" i="36" s="1"/>
  <c r="L64" i="15"/>
  <c r="F56" i="36"/>
  <c r="K66" i="18"/>
  <c r="E66" i="18"/>
  <c r="F66" i="18" s="1"/>
  <c r="S66" i="18" s="1"/>
  <c r="S68" i="16"/>
  <c r="L68" i="16"/>
  <c r="Q68" i="16"/>
  <c r="B39" i="36"/>
  <c r="Q47" i="11"/>
  <c r="C39" i="36" s="1"/>
  <c r="L47" i="11"/>
  <c r="S47" i="11"/>
  <c r="L69" i="17"/>
  <c r="Q69" i="17"/>
  <c r="T69" i="17" s="1"/>
  <c r="D70" i="17" s="1"/>
  <c r="T61" i="14"/>
  <c r="D62" i="14" s="1"/>
  <c r="T68" i="16" l="1"/>
  <c r="D69" i="16" s="1"/>
  <c r="K69" i="16" s="1"/>
  <c r="T64" i="15"/>
  <c r="D65" i="15" s="1"/>
  <c r="T47" i="11"/>
  <c r="D48" i="11" s="1"/>
  <c r="K48" i="11" s="1"/>
  <c r="E70" i="17"/>
  <c r="F70" i="17" s="1"/>
  <c r="K70" i="17"/>
  <c r="Q66" i="18"/>
  <c r="T66" i="18" s="1"/>
  <c r="D67" i="18" s="1"/>
  <c r="L66" i="18"/>
  <c r="K62" i="14"/>
  <c r="E62" i="14"/>
  <c r="F62" i="14" s="1"/>
  <c r="O50" i="11"/>
  <c r="E48" i="11" l="1"/>
  <c r="F48" i="11" s="1"/>
  <c r="S48" i="11" s="1"/>
  <c r="E69" i="16"/>
  <c r="F69" i="16" s="1"/>
  <c r="S69" i="16" s="1"/>
  <c r="E65" i="15"/>
  <c r="F65" i="15" s="1"/>
  <c r="S65" i="15" s="1"/>
  <c r="K65" i="15"/>
  <c r="B40" i="36"/>
  <c r="Q48" i="11"/>
  <c r="L48" i="11"/>
  <c r="E67" i="18"/>
  <c r="F67" i="18" s="1"/>
  <c r="S67" i="18" s="1"/>
  <c r="K67" i="18"/>
  <c r="S70" i="17"/>
  <c r="Q70" i="17"/>
  <c r="L70" i="17"/>
  <c r="L69" i="16"/>
  <c r="Q69" i="16"/>
  <c r="S62" i="14"/>
  <c r="Q62" i="14"/>
  <c r="E54" i="36" s="1"/>
  <c r="L62" i="14"/>
  <c r="D54" i="36"/>
  <c r="R50" i="11"/>
  <c r="T70" i="17" l="1"/>
  <c r="K6" i="17" s="1"/>
  <c r="N6" i="17" s="1"/>
  <c r="Q6" i="17" s="1"/>
  <c r="E21" i="9" s="1"/>
  <c r="T69" i="16"/>
  <c r="D70" i="16" s="1"/>
  <c r="K70" i="16" s="1"/>
  <c r="Q65" i="15"/>
  <c r="L65" i="15"/>
  <c r="F57" i="36"/>
  <c r="L67" i="18"/>
  <c r="Q67" i="18"/>
  <c r="T67" i="18" s="1"/>
  <c r="D68" i="18" s="1"/>
  <c r="E70" i="16"/>
  <c r="F70" i="16" s="1"/>
  <c r="S70" i="16" s="1"/>
  <c r="T48" i="11"/>
  <c r="D49" i="11" s="1"/>
  <c r="C40" i="36"/>
  <c r="T62" i="14"/>
  <c r="D63" i="14" s="1"/>
  <c r="M51" i="11"/>
  <c r="M52" i="11" s="1"/>
  <c r="G57" i="36" l="1"/>
  <c r="T65" i="15"/>
  <c r="D66" i="15" s="1"/>
  <c r="K49" i="11"/>
  <c r="E49" i="11"/>
  <c r="F49" i="11" s="1"/>
  <c r="Q70" i="16"/>
  <c r="T70" i="16" s="1"/>
  <c r="K6" i="16" s="1"/>
  <c r="N6" i="16" s="1"/>
  <c r="Q6" i="16" s="1"/>
  <c r="E20" i="9" s="1"/>
  <c r="L70" i="16"/>
  <c r="K68" i="18"/>
  <c r="E68" i="18"/>
  <c r="F68" i="18" s="1"/>
  <c r="S68" i="18" s="1"/>
  <c r="E63" i="14"/>
  <c r="F63" i="14" s="1"/>
  <c r="S63" i="14" s="1"/>
  <c r="K63" i="14"/>
  <c r="E66" i="15" l="1"/>
  <c r="F66" i="15" s="1"/>
  <c r="S66" i="15" s="1"/>
  <c r="K66" i="15"/>
  <c r="L68" i="18"/>
  <c r="Q68" i="18"/>
  <c r="T68" i="18" s="1"/>
  <c r="D69" i="18" s="1"/>
  <c r="S49" i="11"/>
  <c r="L49" i="11"/>
  <c r="Q49" i="11"/>
  <c r="C41" i="36" s="1"/>
  <c r="B41" i="36"/>
  <c r="D55" i="36"/>
  <c r="Q63" i="14"/>
  <c r="E55" i="36" s="1"/>
  <c r="L63" i="14"/>
  <c r="F58" i="36" l="1"/>
  <c r="L66" i="15"/>
  <c r="Q66" i="15"/>
  <c r="T49" i="11"/>
  <c r="D50" i="11" s="1"/>
  <c r="T63" i="14"/>
  <c r="D64" i="14" s="1"/>
  <c r="K64" i="14" s="1"/>
  <c r="K69" i="18"/>
  <c r="E69" i="18"/>
  <c r="F69" i="18" s="1"/>
  <c r="S69" i="18" s="1"/>
  <c r="G58" i="36" l="1"/>
  <c r="T66" i="15"/>
  <c r="D67" i="15" s="1"/>
  <c r="L69" i="18"/>
  <c r="Q69" i="18"/>
  <c r="T69" i="18" s="1"/>
  <c r="D70" i="18" s="1"/>
  <c r="E64" i="14"/>
  <c r="F64" i="14" s="1"/>
  <c r="S64" i="14" s="1"/>
  <c r="K50" i="11"/>
  <c r="E50" i="11"/>
  <c r="F50" i="11" s="1"/>
  <c r="L64" i="14"/>
  <c r="D56" i="36"/>
  <c r="E67" i="15" l="1"/>
  <c r="F67" i="15" s="1"/>
  <c r="S67" i="15" s="1"/>
  <c r="K67" i="15"/>
  <c r="B42" i="36"/>
  <c r="L50" i="11"/>
  <c r="Q50" i="11"/>
  <c r="C42" i="36" s="1"/>
  <c r="S50" i="11"/>
  <c r="K70" i="18"/>
  <c r="E70" i="18"/>
  <c r="F70" i="18" s="1"/>
  <c r="O64" i="14"/>
  <c r="Q64" i="14" s="1"/>
  <c r="E56" i="36" s="1"/>
  <c r="T50" i="11" l="1"/>
  <c r="D51" i="11" s="1"/>
  <c r="E51" i="11" s="1"/>
  <c r="F51" i="11" s="1"/>
  <c r="F59" i="36"/>
  <c r="L67" i="15"/>
  <c r="Q67" i="15"/>
  <c r="S70" i="18"/>
  <c r="Q70" i="18"/>
  <c r="T70" i="18" s="1"/>
  <c r="K6" i="18" s="1"/>
  <c r="N6" i="18" s="1"/>
  <c r="Q6" i="18" s="1"/>
  <c r="E22" i="9" s="1"/>
  <c r="L70" i="18"/>
  <c r="R64" i="14"/>
  <c r="T64" i="14" s="1"/>
  <c r="K51" i="11" l="1"/>
  <c r="Q51" i="11" s="1"/>
  <c r="C43" i="36" s="1"/>
  <c r="G59" i="36"/>
  <c r="T67" i="15"/>
  <c r="D68" i="15" s="1"/>
  <c r="D65" i="14"/>
  <c r="M65" i="14"/>
  <c r="M66" i="14" s="1"/>
  <c r="M67" i="14" s="1"/>
  <c r="M68" i="14" s="1"/>
  <c r="M69" i="14" s="1"/>
  <c r="M70" i="14" s="1"/>
  <c r="S51" i="11"/>
  <c r="L51" i="11" l="1"/>
  <c r="B43" i="36"/>
  <c r="K68" i="15"/>
  <c r="E68" i="15"/>
  <c r="F68" i="15" s="1"/>
  <c r="S68" i="15" s="1"/>
  <c r="T51" i="11"/>
  <c r="D52" i="11" s="1"/>
  <c r="E65" i="14"/>
  <c r="F65" i="14" s="1"/>
  <c r="K65" i="14"/>
  <c r="F60" i="36" l="1"/>
  <c r="Q68" i="15"/>
  <c r="L68" i="15"/>
  <c r="L65" i="14"/>
  <c r="Q65" i="14"/>
  <c r="E57" i="36" s="1"/>
  <c r="D57" i="36"/>
  <c r="S65" i="14"/>
  <c r="E52" i="11"/>
  <c r="F52" i="11" s="1"/>
  <c r="K52" i="11"/>
  <c r="T65" i="14" l="1"/>
  <c r="D66" i="14" s="1"/>
  <c r="K66" i="14" s="1"/>
  <c r="G60" i="36"/>
  <c r="T68" i="15"/>
  <c r="D69" i="15" s="1"/>
  <c r="O52" i="11"/>
  <c r="Q52" i="11" s="1"/>
  <c r="S52" i="11"/>
  <c r="B44" i="36"/>
  <c r="L52" i="11"/>
  <c r="E66" i="14" l="1"/>
  <c r="F66" i="14" s="1"/>
  <c r="S66" i="14" s="1"/>
  <c r="K69" i="15"/>
  <c r="E69" i="15"/>
  <c r="F69" i="15" s="1"/>
  <c r="C44" i="36"/>
  <c r="R52" i="11"/>
  <c r="T52" i="11" s="1"/>
  <c r="L66" i="14"/>
  <c r="Q66" i="14"/>
  <c r="D58" i="36"/>
  <c r="S69" i="15" l="1"/>
  <c r="F61" i="36"/>
  <c r="Q69" i="15"/>
  <c r="G61" i="36" s="1"/>
  <c r="L69" i="15"/>
  <c r="E58" i="36"/>
  <c r="T66" i="14"/>
  <c r="D67" i="14" s="1"/>
  <c r="D53" i="11"/>
  <c r="M53" i="11"/>
  <c r="M54" i="11" s="1"/>
  <c r="M55" i="11" s="1"/>
  <c r="T69" i="15" l="1"/>
  <c r="D70" i="15" s="1"/>
  <c r="K67" i="14"/>
  <c r="E67" i="14"/>
  <c r="F67" i="14" s="1"/>
  <c r="S67" i="14" s="1"/>
  <c r="K53" i="11"/>
  <c r="E53" i="11"/>
  <c r="F53" i="11" s="1"/>
  <c r="E70" i="15" l="1"/>
  <c r="F70" i="15" s="1"/>
  <c r="S70" i="15" s="1"/>
  <c r="K70" i="15"/>
  <c r="S53" i="11"/>
  <c r="B45" i="36"/>
  <c r="L53" i="11"/>
  <c r="Q53" i="11"/>
  <c r="C45" i="36" s="1"/>
  <c r="L67" i="14"/>
  <c r="D59" i="36"/>
  <c r="Q67" i="14"/>
  <c r="F62" i="36" l="1"/>
  <c r="Q70" i="15"/>
  <c r="G62" i="36" s="1"/>
  <c r="L70" i="15"/>
  <c r="E59" i="36"/>
  <c r="T67" i="14"/>
  <c r="D68" i="14" s="1"/>
  <c r="T53" i="11"/>
  <c r="D54" i="11" s="1"/>
  <c r="T70" i="15" l="1"/>
  <c r="K6" i="15" s="1"/>
  <c r="N6" i="15" s="1"/>
  <c r="Q6" i="15" s="1"/>
  <c r="D22" i="9" s="1"/>
  <c r="F22" i="9" s="1"/>
  <c r="C41" i="8" s="1"/>
  <c r="B4" i="19" s="1"/>
  <c r="K68" i="14"/>
  <c r="E68" i="14"/>
  <c r="F68" i="14" s="1"/>
  <c r="S68" i="14" s="1"/>
  <c r="E54" i="11"/>
  <c r="F54" i="11" s="1"/>
  <c r="S54" i="11" s="1"/>
  <c r="K54" i="11"/>
  <c r="B46" i="36" l="1"/>
  <c r="Q54" i="11"/>
  <c r="L54" i="11"/>
  <c r="Q68" i="14"/>
  <c r="L68" i="14"/>
  <c r="D60" i="36"/>
  <c r="E60" i="36" l="1"/>
  <c r="T68" i="14"/>
  <c r="D69" i="14" s="1"/>
  <c r="T54" i="11"/>
  <c r="D55" i="11" s="1"/>
  <c r="C46" i="36"/>
  <c r="E69" i="14" l="1"/>
  <c r="F69" i="14" s="1"/>
  <c r="S69" i="14" s="1"/>
  <c r="K69" i="14"/>
  <c r="K55" i="11"/>
  <c r="E55" i="11"/>
  <c r="F55" i="11" s="1"/>
  <c r="O55" i="11" l="1"/>
  <c r="Q55" i="11" s="1"/>
  <c r="C47" i="36" s="1"/>
  <c r="S55" i="11"/>
  <c r="L69" i="14"/>
  <c r="D61" i="36"/>
  <c r="Q69" i="14"/>
  <c r="L55" i="11"/>
  <c r="B47" i="36"/>
  <c r="R55" i="11" l="1"/>
  <c r="T55" i="11" s="1"/>
  <c r="E61" i="36"/>
  <c r="T69" i="14"/>
  <c r="D70" i="14" s="1"/>
  <c r="D56" i="11" l="1"/>
  <c r="E56" i="11" s="1"/>
  <c r="F56" i="11" s="1"/>
  <c r="M56" i="11"/>
  <c r="M57" i="11" s="1"/>
  <c r="M58" i="11" s="1"/>
  <c r="K70" i="14"/>
  <c r="E70" i="14"/>
  <c r="F70" i="14" s="1"/>
  <c r="S70" i="14" s="1"/>
  <c r="K56" i="11" l="1"/>
  <c r="Q56" i="11" s="1"/>
  <c r="C48" i="36" s="1"/>
  <c r="S56" i="11"/>
  <c r="Q70" i="14"/>
  <c r="L70" i="14"/>
  <c r="D62" i="36"/>
  <c r="B48" i="36" l="1"/>
  <c r="L56" i="11"/>
  <c r="E62" i="36"/>
  <c r="T70" i="14"/>
  <c r="K6" i="14" s="1"/>
  <c r="N6" i="14" s="1"/>
  <c r="Q6" i="14" s="1"/>
  <c r="D21" i="9" s="1"/>
  <c r="F21" i="9" s="1"/>
  <c r="C40" i="8" s="1"/>
  <c r="B3" i="19" s="1"/>
  <c r="T56" i="11"/>
  <c r="D57" i="11" s="1"/>
  <c r="K57" i="11" l="1"/>
  <c r="E57" i="11"/>
  <c r="F57" i="11" s="1"/>
  <c r="S57" i="11" l="1"/>
  <c r="L57" i="11"/>
  <c r="Q57" i="11"/>
  <c r="C49" i="36" s="1"/>
  <c r="B49" i="36"/>
  <c r="T57" i="11" l="1"/>
  <c r="D58" i="11" s="1"/>
  <c r="K58" i="11" l="1"/>
  <c r="E58" i="11"/>
  <c r="F58" i="11" s="1"/>
  <c r="O58" i="11" l="1"/>
  <c r="Q58" i="11" s="1"/>
  <c r="C50" i="36" s="1"/>
  <c r="S58" i="11"/>
  <c r="B50" i="36"/>
  <c r="L58" i="11"/>
  <c r="R58" i="11" l="1"/>
  <c r="T58" i="11" s="1"/>
  <c r="D59" i="11" l="1"/>
  <c r="M59" i="11"/>
  <c r="M60" i="11" s="1"/>
  <c r="M61" i="11" l="1"/>
  <c r="M62" i="11" s="1"/>
  <c r="M63" i="11" s="1"/>
  <c r="M64" i="11" s="1"/>
  <c r="L6" i="11"/>
  <c r="K59" i="11"/>
  <c r="E59" i="11"/>
  <c r="F59" i="11" s="1"/>
  <c r="Q59" i="11" l="1"/>
  <c r="C51" i="36" s="1"/>
  <c r="B51" i="36"/>
  <c r="L59" i="11"/>
  <c r="S59" i="11"/>
  <c r="T59" i="11" l="1"/>
  <c r="D60" i="11" s="1"/>
  <c r="K60" i="11" s="1"/>
  <c r="E60" i="11" l="1"/>
  <c r="F60" i="11" s="1"/>
  <c r="S60" i="11" s="1"/>
  <c r="Q60" i="11"/>
  <c r="C52" i="36" s="1"/>
  <c r="L60" i="11"/>
  <c r="O6" i="11" s="1"/>
  <c r="B52" i="36"/>
  <c r="T60" i="11" l="1"/>
  <c r="D61" i="11" s="1"/>
  <c r="K61" i="11" l="1"/>
  <c r="E61" i="11"/>
  <c r="F61" i="11" s="1"/>
  <c r="S61" i="11" l="1"/>
  <c r="B53" i="36"/>
  <c r="L61" i="11"/>
  <c r="Q61" i="11"/>
  <c r="C53" i="36" s="1"/>
  <c r="T61" i="11" l="1"/>
  <c r="D62" i="11" s="1"/>
  <c r="E62" i="11" l="1"/>
  <c r="F62" i="11" s="1"/>
  <c r="K62" i="11"/>
  <c r="Q62" i="11" l="1"/>
  <c r="C54" i="36" s="1"/>
  <c r="L62" i="11"/>
  <c r="B54" i="36"/>
  <c r="S62" i="11"/>
  <c r="T62" i="11" l="1"/>
  <c r="D63" i="11" s="1"/>
  <c r="K63" i="11" s="1"/>
  <c r="E63" i="11" l="1"/>
  <c r="F63" i="11" s="1"/>
  <c r="S63" i="11" s="1"/>
  <c r="L63" i="11"/>
  <c r="B55" i="36"/>
  <c r="Q63" i="11"/>
  <c r="C55" i="36" s="1"/>
  <c r="T63" i="11" l="1"/>
  <c r="D64" i="11" s="1"/>
  <c r="K64" i="11" l="1"/>
  <c r="E64" i="11"/>
  <c r="F64" i="11" s="1"/>
  <c r="O64" i="11" l="1"/>
  <c r="S64" i="11"/>
  <c r="L64" i="11"/>
  <c r="B56" i="36"/>
  <c r="Q64" i="11"/>
  <c r="C56" i="36" s="1"/>
  <c r="R64" i="11" l="1"/>
  <c r="T64" i="11" s="1"/>
  <c r="D65" i="11" l="1"/>
  <c r="M65" i="11"/>
  <c r="M66" i="11" s="1"/>
  <c r="M67" i="11" s="1"/>
  <c r="M68" i="11" s="1"/>
  <c r="M69" i="11" s="1"/>
  <c r="M70" i="11" s="1"/>
  <c r="K65" i="11" l="1"/>
  <c r="E65" i="11"/>
  <c r="F65" i="11" s="1"/>
  <c r="S65" i="11" l="1"/>
  <c r="Q65" i="11"/>
  <c r="C57" i="36" s="1"/>
  <c r="L65" i="11"/>
  <c r="B57" i="36"/>
  <c r="T65" i="11" l="1"/>
  <c r="D66" i="11" s="1"/>
  <c r="K66" i="11" l="1"/>
  <c r="E66" i="11"/>
  <c r="F66" i="11" s="1"/>
  <c r="S66" i="11" l="1"/>
  <c r="L66" i="11"/>
  <c r="B58" i="36"/>
  <c r="Q66" i="11"/>
  <c r="C58" i="36" s="1"/>
  <c r="T66" i="11" l="1"/>
  <c r="D67" i="11" s="1"/>
  <c r="E67" i="11" l="1"/>
  <c r="F67" i="11" s="1"/>
  <c r="K67" i="11"/>
  <c r="B59" i="36" l="1"/>
  <c r="Q67" i="11"/>
  <c r="C59" i="36" s="1"/>
  <c r="L67" i="11"/>
  <c r="S67" i="11"/>
  <c r="T67" i="11" l="1"/>
  <c r="D68" i="11" s="1"/>
  <c r="E68" i="11" l="1"/>
  <c r="F68" i="11" s="1"/>
  <c r="K68" i="11"/>
  <c r="B60" i="36" l="1"/>
  <c r="Q68" i="11"/>
  <c r="C60" i="36" s="1"/>
  <c r="L68" i="11"/>
  <c r="S68" i="11"/>
  <c r="T68" i="11" l="1"/>
  <c r="D69" i="11" s="1"/>
  <c r="E69" i="11" l="1"/>
  <c r="F69" i="11" s="1"/>
  <c r="K69" i="11"/>
  <c r="Q69" i="11" l="1"/>
  <c r="C61" i="36" s="1"/>
  <c r="L69" i="11"/>
  <c r="B61" i="36"/>
  <c r="S69" i="11"/>
  <c r="T69" i="11" l="1"/>
  <c r="D70" i="11" s="1"/>
  <c r="E70" i="11" s="1"/>
  <c r="F70" i="11" s="1"/>
  <c r="K70" i="11" l="1"/>
  <c r="B62" i="36" s="1"/>
  <c r="S70" i="11"/>
  <c r="L70" i="11" l="1"/>
  <c r="Q70" i="11"/>
  <c r="C62" i="36" s="1"/>
  <c r="T70" i="11" l="1"/>
  <c r="K6" i="11" s="1"/>
  <c r="N6" i="11" s="1"/>
  <c r="Q6" i="11" s="1"/>
  <c r="D20" i="9" s="1"/>
  <c r="F20" i="9" s="1"/>
  <c r="C39" i="8" s="1"/>
  <c r="H40" i="8" s="1"/>
  <c r="D40" i="8" l="1"/>
  <c r="H41" i="8"/>
  <c r="B2" i="19"/>
  <c r="B11" i="19" s="1"/>
  <c r="H39" i="8"/>
  <c r="H42" i="8"/>
  <c r="D41" i="8"/>
</calcChain>
</file>

<file path=xl/sharedStrings.xml><?xml version="1.0" encoding="utf-8"?>
<sst xmlns="http://schemas.openxmlformats.org/spreadsheetml/2006/main" count="462" uniqueCount="160">
  <si>
    <t>Rendite</t>
  </si>
  <si>
    <t>Familienstand</t>
  </si>
  <si>
    <t>Jahr</t>
  </si>
  <si>
    <t>Beitrag</t>
  </si>
  <si>
    <t>Anteil Aktienfonds</t>
  </si>
  <si>
    <t>Anteil Mischfonds</t>
  </si>
  <si>
    <t>Freistellung</t>
  </si>
  <si>
    <t>Gesamtvermögen</t>
  </si>
  <si>
    <t>Wechsel</t>
  </si>
  <si>
    <t>Steuer</t>
  </si>
  <si>
    <t>Ausgabeaufschlag</t>
  </si>
  <si>
    <t>Aktienfonds</t>
  </si>
  <si>
    <t>Mischfonds</t>
  </si>
  <si>
    <t>Beitragssumme</t>
  </si>
  <si>
    <t>Laufzeit</t>
  </si>
  <si>
    <t>Auszahlung</t>
  </si>
  <si>
    <t>Nach Abgeltungsteuer</t>
  </si>
  <si>
    <t>zu versteuern</t>
  </si>
  <si>
    <t>Wechselkosten</t>
  </si>
  <si>
    <t>Basiszins</t>
  </si>
  <si>
    <t>Vorabpauschale</t>
  </si>
  <si>
    <t>Eingaben</t>
  </si>
  <si>
    <t>Art der Anlage</t>
  </si>
  <si>
    <t>Zahlweise</t>
  </si>
  <si>
    <t>monatlich</t>
  </si>
  <si>
    <t>jährlich</t>
  </si>
  <si>
    <t>Einmalbeitrag</t>
  </si>
  <si>
    <t>nicht verheiratet</t>
  </si>
  <si>
    <t>verheiratet</t>
  </si>
  <si>
    <t>Anlageart</t>
  </si>
  <si>
    <t>individuell</t>
  </si>
  <si>
    <t>Rentenfonds / VVW</t>
  </si>
  <si>
    <t>Wechselgebühr</t>
  </si>
  <si>
    <t>Kosten Helvetia Management</t>
  </si>
  <si>
    <t xml:space="preserve">Abschmelzen p.a. um </t>
  </si>
  <si>
    <t>Optionen / Detaileingaben</t>
  </si>
  <si>
    <t>Wechselanzahl</t>
  </si>
  <si>
    <t>Jahresabstand</t>
  </si>
  <si>
    <t>Wechsel im Jahr</t>
  </si>
  <si>
    <t>Ablaufmanagement</t>
  </si>
  <si>
    <t xml:space="preserve"> </t>
  </si>
  <si>
    <t>Beitrag p.a.</t>
  </si>
  <si>
    <t>Abgeltungssteuer</t>
  </si>
  <si>
    <t>kumulierte Vorabpauschale</t>
  </si>
  <si>
    <t>Wechselbesteuerunganteil</t>
  </si>
  <si>
    <t>Vermögen Jahresanfang</t>
  </si>
  <si>
    <t>Freistellungsauftrag</t>
  </si>
  <si>
    <t>Jahresabschluss</t>
  </si>
  <si>
    <t>Ausgabe</t>
  </si>
  <si>
    <t>Quelle: Eigene Berechnungen auf Basis Ihrer Angaben und der gesetzlichen / steuerrechtlichen  Daten.</t>
  </si>
  <si>
    <t xml:space="preserve">Für die Richtigkeit der Angaben kann keine Gewähr übernommen werden, denn Programm- und Berechnungsfehler sind trotz sorgfältigstem Vorgehen nicht ausgeschlossen.           </t>
  </si>
  <si>
    <t>Berechnung</t>
  </si>
  <si>
    <t>Depotkosten</t>
  </si>
  <si>
    <t xml:space="preserve">Mehrkosten Direktanlage bei Management: </t>
  </si>
  <si>
    <t>Mit Steuerfrei Konzept</t>
  </si>
  <si>
    <t>Teilentnahmen (über  20 J.)</t>
  </si>
  <si>
    <t>Halbeinkünfteverfahren</t>
  </si>
  <si>
    <t>Ratierlich</t>
  </si>
  <si>
    <t>EB</t>
  </si>
  <si>
    <t>Ablaufleistung</t>
  </si>
  <si>
    <t>Rendite Ratierlich</t>
  </si>
  <si>
    <t>Rendite EB</t>
  </si>
  <si>
    <t>Beitrag EB</t>
  </si>
  <si>
    <t>Steuerberechnung der Fondspolice</t>
  </si>
  <si>
    <t>Art</t>
  </si>
  <si>
    <t>Abgeltungsteuer</t>
  </si>
  <si>
    <t>Teilfreistellung</t>
  </si>
  <si>
    <t xml:space="preserve">Nach Teilfreistellung </t>
  </si>
  <si>
    <t>Ablauf</t>
  </si>
  <si>
    <t>HEV mit 20 Teilentnahmen</t>
  </si>
  <si>
    <t>Steuerfrei Konzept</t>
  </si>
  <si>
    <t>Ablaufleistung FLV</t>
  </si>
  <si>
    <t>Rendite FLV</t>
  </si>
  <si>
    <t xml:space="preserve"> Zins=ZINS(Laufzeit*12;-Beitrag;0;Ablaufleistung)*12</t>
  </si>
  <si>
    <t xml:space="preserve"> Ablauf=ZW(Zins/12; Laufzeit*12;-Beitrag;)</t>
  </si>
  <si>
    <t>Art der Fondspolice</t>
  </si>
  <si>
    <t>Fondspolice für die Altersversorgung</t>
  </si>
  <si>
    <t>Fondspolice für die mittelfristige Anlage</t>
  </si>
  <si>
    <t>Minimale Achsenbeschriftung</t>
  </si>
  <si>
    <t>Rückkaufswerte nach Kosten und Steuer</t>
  </si>
  <si>
    <t>Min</t>
  </si>
  <si>
    <t>Mittelwert</t>
  </si>
  <si>
    <t>Max</t>
  </si>
  <si>
    <t>Anzahl Perioden</t>
  </si>
  <si>
    <t>Bester Verlauf</t>
  </si>
  <si>
    <t>Schlechtester Verlauf</t>
  </si>
  <si>
    <t>Mittelwert aller Verläufe</t>
  </si>
  <si>
    <t>Anzahl mögl. Verläufe</t>
  </si>
  <si>
    <t>Übersicht - Garantie versus Sicherheit</t>
  </si>
  <si>
    <t>Kosten Garantie (im Mittel)</t>
  </si>
  <si>
    <t>Gesamt-Bruttoeinkommen p. a.</t>
  </si>
  <si>
    <t>Laufzeit in Jahren</t>
  </si>
  <si>
    <t xml:space="preserve">        Zahlweise</t>
  </si>
  <si>
    <t>gemanagt</t>
  </si>
  <si>
    <r>
      <t xml:space="preserve">Historische DAX®-Verläufe </t>
    </r>
    <r>
      <rPr>
        <b/>
        <sz val="8"/>
        <color theme="1"/>
        <rFont val="Arial"/>
        <family val="2"/>
      </rPr>
      <t>(Rendite ohne Kosten / Steuer)</t>
    </r>
  </si>
  <si>
    <t>Neben der Renditebetrachtung ist zusätzlich zu beachten, wie wahrscheinlich es ist, eine entsprechende Rendite zu erwirtschaften.</t>
  </si>
  <si>
    <t>1. Rebalancing</t>
  </si>
  <si>
    <t>Fazit</t>
  </si>
  <si>
    <t>In der jetzigen Niedrigzinsphase ist eine Beitragsgarantie sehr teuer. Dies zeigt die schematische Darstellung:</t>
  </si>
  <si>
    <t>Sicherungsmechanismen können das Verlustrisiko von Fonds deutlich minimieren und die Renditeerwartung erhöhen.
Sie stehen kosten- und steueroptimiert nur bei Fondspolicen zur Verfügung.</t>
  </si>
  <si>
    <t>Pauschalgebühr p.a.</t>
  </si>
  <si>
    <t>Volumenabhängig p.a.</t>
  </si>
  <si>
    <t>Sparer-Pauschbetrag/Freibetrag</t>
  </si>
  <si>
    <t>Freibetrag p.a.</t>
  </si>
  <si>
    <t xml:space="preserve">(ledig 801€ / verh. 1602 €) </t>
  </si>
  <si>
    <t>Im Folgenden ist die Fonds-Direktanlage im Depot (mit verschiedenen Basiszinssätzen als Annahme) und die Fondspolice (mit verschiedenen Entnahme-Besteuerungen) grafisch nach Kosten und Steuer gegenüber gestellt:</t>
  </si>
  <si>
    <r>
      <t xml:space="preserve">Um die Vorabpauschale zu ermitteln, legt das Bundesministerium der Finanzen jedes Jahr den maßgeblichen Zinssatz </t>
    </r>
    <r>
      <rPr>
        <b/>
        <sz val="11"/>
        <color theme="1"/>
        <rFont val="Arial"/>
        <family val="2"/>
      </rPr>
      <t>(Basiszins)</t>
    </r>
    <r>
      <rPr>
        <sz val="11"/>
        <color theme="1"/>
        <rFont val="Arial"/>
        <family val="2"/>
      </rPr>
      <t xml:space="preserve"> im Bundessteuerblatt fest. Der Basiszins leitet sich aus langfristigen Renditen öffentlicher Anleihen ab. Dies bedeutet:
Wenn die Zinsen steigen, steigt der Basiszins und somit auch die jährliche Vorabpauschale. Dies ist für eine langfristige Prognose wichtig, da man mit moderat steigenden Zinsen rechnen sollte.
Für eine langfristige Prognose wird deshalb auch ein Basiszins in Höhe von 2% und 4% dargestellt.</t>
    </r>
  </si>
  <si>
    <r>
      <t>Der Gesetzgeber besteuert nicht ausschüttende (thesaurierende) und teilausschüttende Fonds ähnlich. Aus diesem Grund muss der Anleger - unabhängig vom gewählten Fondstyp</t>
    </r>
    <r>
      <rPr>
        <b/>
        <sz val="11"/>
        <color theme="1"/>
        <rFont val="Arial"/>
        <family val="2"/>
      </rPr>
      <t xml:space="preserve"> - immer einen Mindestbetrag vom Fondsanteilswert versteuern -</t>
    </r>
    <r>
      <rPr>
        <sz val="11"/>
        <color theme="1"/>
        <rFont val="Arial"/>
        <family val="2"/>
      </rPr>
      <t xml:space="preserve"> die sogenannte Vorabpauschale. Entwickelt sich ein Fonds im Laufe des Jahres negativ, ist keine Vorabpauschale fällig, d.h. sie kann nie negativ werden. Ist die Ausschüttung kleiner als die Vorabpauschale, muss trotzdem mindestens die Vorabpauschale versteuert werden.</t>
    </r>
  </si>
  <si>
    <t>erwartete Rendite (BVI) p. a.</t>
  </si>
  <si>
    <t>Depotaufteilung zu Beginn</t>
  </si>
  <si>
    <t>Die folgenden Berechnungen wurden auf Basis Ihrer Angaben und den Einstellungen im Reiter "Wechsel" unter Berücksichtigung aller Kosten, Steuern sowie des Solidaritätszuschlags erstellt.</t>
  </si>
  <si>
    <t>An der Börse kommt es immer wieder vor, dass sich Märkte unterschiedlich entwickeln. Um von diesem Effekt zu profitieren, kann ein sogenanntes Rebalancing vereinbart werden.
Aus Märkten - die sich sehr gut entwickeln - wird ein Teil entnommen und in Märkte investiert, die Aufholpotential haben.</t>
  </si>
  <si>
    <t>Sicherungsmechanismen und Renditeerwartung</t>
  </si>
  <si>
    <t>2. Sicherungsbausteine</t>
  </si>
  <si>
    <t>Ein weiterer Sicherungsmechanismus - der in der Fondspolice genutzt werden kann - ist die Sicherung im Deckungsstock der Versicherungsgesellschaft. Dieser bietet die Garantie eines festen Wertes, kann sich also nicht negativ entwickeln. Die Alternative im Direktanlage-Depot - Geldmarkt- und Rentenfonds - mussten in Krisenzeiten teilweise zweistellige Verluste hinnehmen. Die sicher Anlage kann bei einer Einmalanlage genutzt werden, um nach und nach in den Aktienmarkt zu investieren - und nicht auf einmal. Dieses sogenannte Anlaufmanagement bewirkt, dass der Zeitpunkt des Einstiegs nicht mehr ganz so relevant ist. Genauso kann es natürlich auch für ein Ablaufmanagement genutzt werden - zur Sicherung der Gewinne!</t>
  </si>
  <si>
    <t>Die Sicherungsmechanismen wirken nicht renditemindernd wie einer festen Beitragsgarantie - ganz im Gegenteil: Die Renditechancen werden eher erhöht.</t>
  </si>
  <si>
    <t>Rentenfonds / Vermögens-verwaltung</t>
  </si>
  <si>
    <t>(VVW=Vermögensverwaltung)</t>
  </si>
  <si>
    <t>zu versteuern %</t>
  </si>
  <si>
    <t xml:space="preserve">zu versteuern% </t>
  </si>
  <si>
    <r>
      <t xml:space="preserve">Depotgebühren / Service-Fee p. a.
</t>
    </r>
    <r>
      <rPr>
        <sz val="8"/>
        <color theme="1"/>
        <rFont val="Arial"/>
        <family val="2"/>
      </rPr>
      <t>(Bank / Vermögensverwaltung)</t>
    </r>
  </si>
  <si>
    <r>
      <t xml:space="preserve">Dachfondskosten
</t>
    </r>
    <r>
      <rPr>
        <sz val="8"/>
        <color theme="1"/>
        <rFont val="Arial"/>
        <family val="2"/>
      </rPr>
      <t xml:space="preserve">(TER abzgl. </t>
    </r>
    <r>
      <rPr>
        <sz val="8"/>
        <color theme="1"/>
        <rFont val="Symbol"/>
        <family val="1"/>
        <charset val="2"/>
      </rPr>
      <t xml:space="preserve">Æ </t>
    </r>
    <r>
      <rPr>
        <sz val="8"/>
        <color theme="1"/>
        <rFont val="Arial"/>
        <family val="2"/>
      </rPr>
      <t>Fondskosten)</t>
    </r>
  </si>
  <si>
    <t>Stand 13.02.2018</t>
  </si>
  <si>
    <r>
      <rPr>
        <b/>
        <sz val="10"/>
        <color theme="1"/>
        <rFont val="Arial"/>
        <family val="2"/>
      </rPr>
      <t>FSX Einzeltarif</t>
    </r>
    <r>
      <rPr>
        <sz val="11"/>
        <color theme="1"/>
        <rFont val="Calibri"/>
        <family val="2"/>
        <scheme val="minor"/>
      </rPr>
      <t xml:space="preserve"> Vertragsguthaben in EUR, Beitrag: 100€ monatlich, keine Dynamik, Alter: 0 Jahre</t>
    </r>
  </si>
  <si>
    <r>
      <rPr>
        <b/>
        <sz val="10"/>
        <color theme="1"/>
        <rFont val="Arial"/>
        <family val="2"/>
      </rPr>
      <t>FSX Kollektivtarif G</t>
    </r>
    <r>
      <rPr>
        <sz val="11"/>
        <color theme="1"/>
        <rFont val="Calibri"/>
        <family val="2"/>
        <scheme val="minor"/>
      </rPr>
      <t xml:space="preserve"> Vertragsguthaben in EUR, Beitrag: 100€ monatlich, keine Dynamik, Alter: 0 Jahre, offene Version</t>
    </r>
  </si>
  <si>
    <r>
      <rPr>
        <b/>
        <sz val="10"/>
        <color theme="1"/>
        <rFont val="Arial"/>
        <family val="2"/>
      </rPr>
      <t>FSX Sondertarif N</t>
    </r>
    <r>
      <rPr>
        <sz val="11"/>
        <color theme="1"/>
        <rFont val="Calibri"/>
        <family val="2"/>
        <scheme val="minor"/>
      </rPr>
      <t xml:space="preserve"> Vertragsguthaben in EUR, Beitrag: 100€ monatlich, keine Dynamik, Alter: 0 Jahre</t>
    </r>
  </si>
  <si>
    <r>
      <rPr>
        <b/>
        <sz val="10"/>
        <color theme="1"/>
        <rFont val="Arial"/>
        <family val="2"/>
      </rPr>
      <t>FSX Sondertarif U</t>
    </r>
    <r>
      <rPr>
        <sz val="11"/>
        <color theme="1"/>
        <rFont val="Calibri"/>
        <family val="2"/>
        <scheme val="minor"/>
      </rPr>
      <t xml:space="preserve"> Vertragsguthaben in EUR, Beitrag: 100€ monatlich, keine Dynamik, Alter: 0 Jahre, offene Version</t>
    </r>
  </si>
  <si>
    <r>
      <rPr>
        <b/>
        <sz val="10"/>
        <color theme="1"/>
        <rFont val="Arial"/>
        <family val="2"/>
      </rPr>
      <t>FSX Sondertarif V</t>
    </r>
    <r>
      <rPr>
        <sz val="11"/>
        <color theme="1"/>
        <rFont val="Calibri"/>
        <family val="2"/>
        <scheme val="minor"/>
      </rPr>
      <t xml:space="preserve"> Vertragsguthaben in EUR, Beitrag: 100€ monatlich, keine Dynamik, Alter: 0 Jahre, offene Version</t>
    </r>
  </si>
  <si>
    <r>
      <rPr>
        <b/>
        <sz val="10"/>
        <color theme="1"/>
        <rFont val="Arial"/>
        <family val="2"/>
      </rPr>
      <t>FSX Sondertarif W</t>
    </r>
    <r>
      <rPr>
        <sz val="11"/>
        <color theme="1"/>
        <rFont val="Calibri"/>
        <family val="2"/>
        <scheme val="minor"/>
      </rPr>
      <t xml:space="preserve"> Vertragsguthaben in EUR, Beitrag: 100€ monatlich, keine Dynamik, Alter: 0 Jahre, offene Version</t>
    </r>
  </si>
  <si>
    <r>
      <rPr>
        <b/>
        <sz val="10"/>
        <color theme="1"/>
        <rFont val="Arial"/>
        <family val="2"/>
      </rPr>
      <t>FSX Sondertarif M</t>
    </r>
    <r>
      <rPr>
        <sz val="11"/>
        <color theme="1"/>
        <rFont val="Calibri"/>
        <family val="2"/>
        <scheme val="minor"/>
      </rPr>
      <t xml:space="preserve"> Vertragsguthaben in EUR, Beitrag: 100€ monatlich, keine Dynamik, Alter: 0 Jahre</t>
    </r>
  </si>
  <si>
    <r>
      <rPr>
        <b/>
        <sz val="10"/>
        <color theme="1"/>
        <rFont val="Arial"/>
        <family val="2"/>
      </rPr>
      <t>FSX Einzeltarif</t>
    </r>
    <r>
      <rPr>
        <sz val="11"/>
        <color theme="1"/>
        <rFont val="Calibri"/>
        <family val="2"/>
        <scheme val="minor"/>
      </rPr>
      <t xml:space="preserve"> Vertragsguthaben in EUR, Beitrag: 100000€ Einmalbeitrag, Alter: 0 Jahre</t>
    </r>
  </si>
  <si>
    <r>
      <rPr>
        <b/>
        <sz val="10"/>
        <color theme="1"/>
        <rFont val="Arial"/>
        <family val="2"/>
      </rPr>
      <t>FSX Kollektivtarif G</t>
    </r>
    <r>
      <rPr>
        <sz val="11"/>
        <color theme="1"/>
        <rFont val="Calibri"/>
        <family val="2"/>
        <scheme val="minor"/>
      </rPr>
      <t xml:space="preserve"> Vertragsguthaben in EUR, Beitrag: 100000€ Einmalbeitrag, Alter: 0 Jahre</t>
    </r>
  </si>
  <si>
    <r>
      <rPr>
        <b/>
        <sz val="10"/>
        <color theme="1"/>
        <rFont val="Arial"/>
        <family val="2"/>
      </rPr>
      <t>FSX Sondertarif N</t>
    </r>
    <r>
      <rPr>
        <sz val="11"/>
        <color theme="1"/>
        <rFont val="Calibri"/>
        <family val="2"/>
        <scheme val="minor"/>
      </rPr>
      <t xml:space="preserve"> Vertragsguthaben in EUR, Beitrag: 100000€ Einmalbeitrag, Alter: 0 Jahre</t>
    </r>
  </si>
  <si>
    <r>
      <rPr>
        <b/>
        <sz val="10"/>
        <color theme="1"/>
        <rFont val="Arial"/>
        <family val="2"/>
      </rPr>
      <t>FSX Sondertarif U</t>
    </r>
    <r>
      <rPr>
        <sz val="11"/>
        <color theme="1"/>
        <rFont val="Calibri"/>
        <family val="2"/>
        <scheme val="minor"/>
      </rPr>
      <t xml:space="preserve"> Vertragsguthaben in EUR, Beitrag: 100000€ Einmalbeitrag, Alter: 0 Jahre</t>
    </r>
  </si>
  <si>
    <r>
      <rPr>
        <b/>
        <sz val="10"/>
        <color theme="1"/>
        <rFont val="Arial"/>
        <family val="2"/>
      </rPr>
      <t>FSX Sondertarif V</t>
    </r>
    <r>
      <rPr>
        <sz val="11"/>
        <color theme="1"/>
        <rFont val="Calibri"/>
        <family val="2"/>
        <scheme val="minor"/>
      </rPr>
      <t xml:space="preserve"> Vertragsguthaben in EUR, Beitrag: 100000€ Einmalbeitrag, Alter: 0 Jahre</t>
    </r>
  </si>
  <si>
    <r>
      <rPr>
        <b/>
        <sz val="10"/>
        <color theme="1"/>
        <rFont val="Arial"/>
        <family val="2"/>
      </rPr>
      <t>FSX Sondertarif W</t>
    </r>
    <r>
      <rPr>
        <sz val="11"/>
        <color theme="1"/>
        <rFont val="Calibri"/>
        <family val="2"/>
        <scheme val="minor"/>
      </rPr>
      <t xml:space="preserve"> Vertragsguthaben in EUR, Beitrag: 100000€ Einmalbeitrag, Alter: 0 Jahre</t>
    </r>
  </si>
  <si>
    <r>
      <rPr>
        <b/>
        <sz val="10"/>
        <color theme="1"/>
        <rFont val="Arial"/>
        <family val="2"/>
      </rPr>
      <t>FSX Sondertarif M</t>
    </r>
    <r>
      <rPr>
        <sz val="11"/>
        <color theme="1"/>
        <rFont val="Calibri"/>
        <family val="2"/>
        <scheme val="minor"/>
      </rPr>
      <t xml:space="preserve"> Vertragsguthaben in EUR, Beitrag: 100000€ Einmalbeitrag, Alter: 0 Jahre</t>
    </r>
  </si>
  <si>
    <t>Tarifgruppe</t>
  </si>
  <si>
    <t>Einzel</t>
  </si>
  <si>
    <t>G</t>
  </si>
  <si>
    <t>N</t>
  </si>
  <si>
    <t>U</t>
  </si>
  <si>
    <t>V</t>
  </si>
  <si>
    <t>W</t>
  </si>
  <si>
    <t>M</t>
  </si>
  <si>
    <t>EB Select</t>
  </si>
  <si>
    <t>Ratierlich Select</t>
  </si>
  <si>
    <t>DAX Werte bis 2018</t>
  </si>
  <si>
    <t>Garantiepolice (ca. 2%)</t>
  </si>
  <si>
    <t>Vorabpauschale mit</t>
  </si>
  <si>
    <r>
      <t>Auszahlung</t>
    </r>
    <r>
      <rPr>
        <b/>
        <sz val="11"/>
        <color theme="0" tint="-0.499984740745262"/>
        <rFont val="Arial"/>
        <family val="2"/>
      </rPr>
      <t xml:space="preserve"> </t>
    </r>
    <r>
      <rPr>
        <b/>
        <sz val="11"/>
        <rFont val="Arial"/>
        <family val="2"/>
      </rPr>
      <t>bei einer</t>
    </r>
    <r>
      <rPr>
        <b/>
        <sz val="11"/>
        <color theme="0" tint="-0.34998626667073579"/>
        <rFont val="Arial"/>
        <family val="2"/>
      </rPr>
      <t xml:space="preserve"> Fonds-Direktanlage</t>
    </r>
    <r>
      <rPr>
        <b/>
        <sz val="11"/>
        <color theme="0" tint="-0.499984740745262"/>
        <rFont val="Arial"/>
        <family val="2"/>
      </rPr>
      <t xml:space="preserve">
</t>
    </r>
    <r>
      <rPr>
        <b/>
        <sz val="8"/>
        <rFont val="Arial"/>
        <family val="2"/>
      </rPr>
      <t>(Veränderung in (%) durch Vorabpauschale im Vergleich zum aktuellen Basiszins )</t>
    </r>
  </si>
  <si>
    <r>
      <t>Auszahlung bei CleVesto Select (ca.)</t>
    </r>
    <r>
      <rPr>
        <b/>
        <sz val="11"/>
        <color rgb="FFFF0000"/>
        <rFont val="Arial"/>
        <family val="2"/>
      </rPr>
      <t xml:space="preserve">
</t>
    </r>
    <r>
      <rPr>
        <b/>
        <sz val="8"/>
        <rFont val="Arial"/>
        <family val="2"/>
      </rPr>
      <t>(Veränderung in (%) im Vergleich zur Fonds-Direktanlage mit aktuellem Basiszins)</t>
    </r>
  </si>
  <si>
    <t>Individuelle Vorgabe</t>
  </si>
  <si>
    <t xml:space="preserve">  (Eingabe 0 € bedeutet, es wird mit Standardwerten gerechnet)</t>
  </si>
  <si>
    <t>(Hinweis: eigentlich: -0,45%)</t>
  </si>
  <si>
    <t>Fonds</t>
  </si>
  <si>
    <t>Heute</t>
  </si>
  <si>
    <t>Bei der Fonds-Direktanlage fällt jedes Jahr die sogenannte Vorabpauschale an (der Freibetrag wird dagegen gerechnet). Diese bezieht sich auf den Basiszins.</t>
  </si>
  <si>
    <t>Gesamtsteuerbelastung</t>
  </si>
  <si>
    <t>(Hinweis: eigentlich: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</si>
</sst>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0\ &quot;€&quot;"/>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 &quot;€&quot;"/>
    <numFmt numFmtId="166" formatCode="0\ &quot;Jahre&quot;"/>
    <numFmt numFmtId="167" formatCode="#,##0.00\ &quot;€&quot;"/>
    <numFmt numFmtId="168" formatCode="#,##0_ ;\-#,##0\ "/>
    <numFmt numFmtId="169" formatCode="&quot;(&quot;0.00%\ &quot;)&quot;;[Red]&quot;(&quot;\-0.00%\ &quot;)&quot;"/>
    <numFmt numFmtId="170" formatCode="_-* #,##0\ &quot;€&quot;_-;\-* #,##0\ &quot;€&quot;_-;_-* &quot;-&quot;??\ &quot;€&quot;_-;_-@_-"/>
    <numFmt numFmtId="171" formatCode="_-* #,##0\ _€_-;\-* #,##0\ _€_-;_-* &quot;-&quot;??\ _€_-;_-@_-"/>
    <numFmt numFmtId="172" formatCode="0.0%"/>
  </numFmts>
  <fonts count="42">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b/>
      <sz val="11"/>
      <color rgb="FFFF0000"/>
      <name val="Calibri"/>
      <family val="2"/>
      <scheme val="minor"/>
    </font>
    <font>
      <sz val="11"/>
      <color rgb="FF006100"/>
      <name val="Calibri"/>
      <family val="2"/>
      <scheme val="minor"/>
    </font>
    <font>
      <b/>
      <sz val="14"/>
      <color indexed="9"/>
      <name val="Arial"/>
      <family val="2"/>
    </font>
    <font>
      <b/>
      <sz val="26"/>
      <name val="Arial"/>
      <family val="2"/>
    </font>
    <font>
      <sz val="10"/>
      <color theme="1"/>
      <name val="Arial"/>
      <family val="2"/>
    </font>
    <font>
      <sz val="10"/>
      <name val="GerlingQuay"/>
    </font>
    <font>
      <sz val="10"/>
      <name val="Arial"/>
      <family val="2"/>
    </font>
    <font>
      <sz val="6"/>
      <color theme="1"/>
      <name val="Arial"/>
      <family val="2"/>
    </font>
    <font>
      <sz val="11"/>
      <color rgb="FF9C6500"/>
      <name val="Calibri"/>
      <family val="2"/>
      <scheme val="minor"/>
    </font>
    <font>
      <sz val="11"/>
      <color theme="0"/>
      <name val="Calibri"/>
      <family val="2"/>
      <scheme val="minor"/>
    </font>
    <font>
      <b/>
      <sz val="10"/>
      <color theme="1"/>
      <name val="Arial"/>
      <family val="2"/>
    </font>
    <font>
      <sz val="14"/>
      <color rgb="FF006100"/>
      <name val="Calibri"/>
      <family val="2"/>
      <scheme val="minor"/>
    </font>
    <font>
      <b/>
      <sz val="12"/>
      <color theme="1"/>
      <name val="Calibri"/>
      <family val="2"/>
      <scheme val="minor"/>
    </font>
    <font>
      <sz val="8"/>
      <color theme="1"/>
      <name val="Arial"/>
      <family val="2"/>
    </font>
    <font>
      <sz val="11"/>
      <color rgb="FF000000"/>
      <name val="Calibri"/>
      <family val="2"/>
    </font>
    <font>
      <sz val="10"/>
      <color rgb="FFFF0000"/>
      <name val="Arial"/>
      <family val="2"/>
    </font>
    <font>
      <sz val="11"/>
      <color theme="1"/>
      <name val="Arial"/>
      <family val="2"/>
    </font>
    <font>
      <sz val="11"/>
      <color theme="0"/>
      <name val="Arial"/>
      <family val="2"/>
    </font>
    <font>
      <b/>
      <sz val="11"/>
      <color theme="1"/>
      <name val="Arial"/>
      <family val="2"/>
    </font>
    <font>
      <b/>
      <sz val="8"/>
      <color rgb="FFFF0000"/>
      <name val="Arial"/>
      <family val="2"/>
    </font>
    <font>
      <b/>
      <sz val="11"/>
      <color theme="0" tint="-0.499984740745262"/>
      <name val="Arial"/>
      <family val="2"/>
    </font>
    <font>
      <b/>
      <sz val="11"/>
      <name val="Arial"/>
      <family val="2"/>
    </font>
    <font>
      <b/>
      <sz val="11"/>
      <color theme="0" tint="-0.34998626667073579"/>
      <name val="Arial"/>
      <family val="2"/>
    </font>
    <font>
      <b/>
      <sz val="8"/>
      <name val="Arial"/>
      <family val="2"/>
    </font>
    <font>
      <b/>
      <sz val="11"/>
      <color rgb="FFFF0000"/>
      <name val="Arial"/>
      <family val="2"/>
    </font>
    <font>
      <b/>
      <sz val="12"/>
      <color theme="1"/>
      <name val="Arial"/>
      <family val="2"/>
    </font>
    <font>
      <b/>
      <sz val="8"/>
      <color theme="1"/>
      <name val="Arial"/>
      <family val="2"/>
    </font>
    <font>
      <sz val="10"/>
      <color rgb="FF002060"/>
      <name val="Arial"/>
      <family val="2"/>
    </font>
    <font>
      <b/>
      <sz val="7"/>
      <color rgb="FFFF0000"/>
      <name val="Arial"/>
      <family val="2"/>
    </font>
    <font>
      <sz val="7"/>
      <color theme="1"/>
      <name val="Arial"/>
      <family val="2"/>
    </font>
    <font>
      <sz val="8"/>
      <color theme="1"/>
      <name val="Symbol"/>
      <family val="1"/>
      <charset val="2"/>
    </font>
    <font>
      <sz val="10"/>
      <name val="ITC Officina Sans Book"/>
      <family val="2"/>
    </font>
    <font>
      <b/>
      <sz val="10"/>
      <color rgb="FFFF0000"/>
      <name val="Arial"/>
      <family val="2"/>
    </font>
    <font>
      <sz val="11"/>
      <name val="Calibri"/>
      <family val="2"/>
      <scheme val="minor"/>
    </font>
    <font>
      <b/>
      <sz val="11"/>
      <name val="Calibri"/>
      <family val="2"/>
      <scheme val="minor"/>
    </font>
    <font>
      <sz val="11"/>
      <color rgb="FFFF0000"/>
      <name val="Calibri"/>
      <family val="2"/>
      <scheme val="minor"/>
    </font>
    <font>
      <b/>
      <sz val="10"/>
      <color theme="1"/>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theme="5" tint="0.79998168889431442"/>
        <bgColor indexed="65"/>
      </patternFill>
    </fill>
    <fill>
      <patternFill patternType="solid">
        <fgColor theme="6" tint="0.59999389629810485"/>
        <bgColor indexed="65"/>
      </patternFill>
    </fill>
    <fill>
      <patternFill patternType="solid">
        <fgColor rgb="FFFFEB9C"/>
      </patternFill>
    </fill>
    <fill>
      <patternFill patternType="solid">
        <fgColor theme="0" tint="-0.14999847407452621"/>
        <bgColor indexed="64"/>
      </patternFill>
    </fill>
    <fill>
      <patternFill patternType="solid">
        <fgColor theme="0" tint="-0.499984740745262"/>
        <bgColor indexed="64"/>
      </patternFill>
    </fill>
    <fill>
      <patternFill patternType="solid">
        <fgColor rgb="FFC00000"/>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s>
  <cellStyleXfs count="15">
    <xf numFmtId="0" fontId="0" fillId="0" borderId="0"/>
    <xf numFmtId="4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6" fillId="3" borderId="0" applyNumberFormat="0" applyBorder="0" applyAlignment="0" applyProtection="0"/>
    <xf numFmtId="0" fontId="10" fillId="0" borderId="0"/>
    <xf numFmtId="0" fontId="3" fillId="4" borderId="0" applyNumberFormat="0" applyBorder="0" applyAlignment="0" applyProtection="0"/>
    <xf numFmtId="0" fontId="3" fillId="5" borderId="0" applyNumberFormat="0" applyBorder="0" applyAlignment="0" applyProtection="0"/>
    <xf numFmtId="0" fontId="13" fillId="6" borderId="0" applyNumberFormat="0" applyBorder="0" applyAlignment="0" applyProtection="0"/>
    <xf numFmtId="0" fontId="2" fillId="0" borderId="0"/>
    <xf numFmtId="0" fontId="36"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2" fillId="0" borderId="0"/>
  </cellStyleXfs>
  <cellXfs count="325">
    <xf numFmtId="0" fontId="0" fillId="0" borderId="0" xfId="0"/>
    <xf numFmtId="44" fontId="0" fillId="0" borderId="0" xfId="1" applyFont="1" applyAlignment="1">
      <alignment horizontal="center"/>
    </xf>
    <xf numFmtId="0" fontId="4" fillId="0" borderId="0" xfId="0" applyFont="1" applyAlignment="1">
      <alignment horizontal="center"/>
    </xf>
    <xf numFmtId="9" fontId="0" fillId="0" borderId="0" xfId="0" applyNumberFormat="1" applyAlignment="1">
      <alignment horizontal="center"/>
    </xf>
    <xf numFmtId="7" fontId="0" fillId="0" borderId="0" xfId="0" applyNumberFormat="1" applyAlignment="1">
      <alignment horizontal="center"/>
    </xf>
    <xf numFmtId="10" fontId="0" fillId="0" borderId="0" xfId="0" applyNumberFormat="1" applyAlignment="1">
      <alignment horizontal="center"/>
    </xf>
    <xf numFmtId="0" fontId="0" fillId="0" borderId="9" xfId="0" applyBorder="1"/>
    <xf numFmtId="0" fontId="0" fillId="0" borderId="2" xfId="0" applyBorder="1"/>
    <xf numFmtId="0" fontId="0" fillId="0" borderId="7" xfId="0" applyBorder="1"/>
    <xf numFmtId="0" fontId="0" fillId="0" borderId="8" xfId="0" applyBorder="1"/>
    <xf numFmtId="0" fontId="0" fillId="0" borderId="3" xfId="0" applyBorder="1"/>
    <xf numFmtId="0" fontId="0" fillId="0" borderId="4" xfId="0" applyBorder="1"/>
    <xf numFmtId="0" fontId="4" fillId="0" borderId="1" xfId="0" applyFont="1" applyBorder="1"/>
    <xf numFmtId="0" fontId="4" fillId="0" borderId="9" xfId="0" applyFont="1" applyBorder="1"/>
    <xf numFmtId="9" fontId="0" fillId="0" borderId="7" xfId="0" applyNumberFormat="1" applyBorder="1" applyAlignment="1">
      <alignment horizontal="center"/>
    </xf>
    <xf numFmtId="0" fontId="0" fillId="0" borderId="8" xfId="0" applyBorder="1" applyAlignment="1">
      <alignment horizontal="center"/>
    </xf>
    <xf numFmtId="9" fontId="0" fillId="0" borderId="3" xfId="0" applyNumberFormat="1" applyBorder="1" applyAlignment="1">
      <alignment horizontal="center"/>
    </xf>
    <xf numFmtId="0" fontId="0" fillId="0" borderId="4" xfId="0" applyBorder="1" applyAlignment="1">
      <alignment horizontal="center"/>
    </xf>
    <xf numFmtId="9" fontId="3" fillId="4" borderId="14" xfId="6" applyNumberFormat="1" applyBorder="1" applyAlignment="1">
      <alignment horizontal="center"/>
    </xf>
    <xf numFmtId="0" fontId="6" fillId="3" borderId="13" xfId="4" applyBorder="1"/>
    <xf numFmtId="0" fontId="12" fillId="0" borderId="0" xfId="0" applyFont="1" applyBorder="1" applyAlignment="1" applyProtection="1">
      <alignment vertical="top"/>
    </xf>
    <xf numFmtId="9" fontId="3" fillId="5" borderId="12" xfId="7" applyNumberFormat="1" applyBorder="1" applyAlignment="1" applyProtection="1">
      <alignment horizontal="center"/>
      <protection locked="0"/>
    </xf>
    <xf numFmtId="0" fontId="0" fillId="0" borderId="1"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9" fillId="0" borderId="15" xfId="0" applyFont="1" applyBorder="1" applyAlignment="1" applyProtection="1"/>
    <xf numFmtId="0" fontId="9" fillId="0" borderId="0" xfId="0" applyFont="1" applyBorder="1" applyAlignment="1" applyProtection="1">
      <alignment horizontal="center"/>
    </xf>
    <xf numFmtId="0" fontId="8" fillId="0" borderId="0" xfId="0" applyFont="1" applyAlignment="1" applyProtection="1"/>
    <xf numFmtId="0" fontId="4" fillId="0" borderId="15" xfId="0" applyFont="1" applyBorder="1" applyAlignment="1">
      <alignment horizontal="center"/>
    </xf>
    <xf numFmtId="0" fontId="0" fillId="0" borderId="0" xfId="0" applyFont="1" applyBorder="1" applyAlignment="1">
      <alignment horizontal="center"/>
    </xf>
    <xf numFmtId="9" fontId="9" fillId="0" borderId="0" xfId="0" applyNumberFormat="1" applyFont="1" applyBorder="1" applyAlignment="1" applyProtection="1">
      <alignment horizontal="center"/>
    </xf>
    <xf numFmtId="9" fontId="0" fillId="0" borderId="0" xfId="3" applyFont="1" applyAlignment="1">
      <alignment horizontal="center"/>
    </xf>
    <xf numFmtId="9" fontId="0" fillId="0" borderId="12" xfId="0" applyNumberFormat="1" applyBorder="1" applyAlignment="1">
      <alignment horizontal="center"/>
    </xf>
    <xf numFmtId="9" fontId="3" fillId="5" borderId="0" xfId="7" applyNumberFormat="1" applyAlignment="1" applyProtection="1">
      <alignment horizontal="center"/>
      <protection locked="0"/>
    </xf>
    <xf numFmtId="168" fontId="3" fillId="4" borderId="14" xfId="2" applyNumberFormat="1" applyFill="1" applyBorder="1" applyAlignment="1">
      <alignment horizontal="center"/>
    </xf>
    <xf numFmtId="0" fontId="0" fillId="0" borderId="0" xfId="0" applyAlignment="1">
      <alignment horizontal="right"/>
    </xf>
    <xf numFmtId="5" fontId="0" fillId="0" borderId="0" xfId="1" applyNumberFormat="1" applyFont="1" applyAlignment="1">
      <alignment horizontal="center"/>
    </xf>
    <xf numFmtId="0" fontId="0" fillId="0" borderId="5" xfId="0" applyBorder="1" applyAlignment="1">
      <alignment horizontal="center"/>
    </xf>
    <xf numFmtId="0" fontId="0" fillId="0" borderId="22" xfId="0" applyBorder="1"/>
    <xf numFmtId="0" fontId="9" fillId="0" borderId="23" xfId="0" applyFont="1" applyBorder="1" applyAlignment="1" applyProtection="1"/>
    <xf numFmtId="9" fontId="3" fillId="0" borderId="0" xfId="7" applyNumberFormat="1" applyFill="1" applyBorder="1" applyAlignment="1" applyProtection="1">
      <alignment horizontal="center"/>
      <protection locked="0"/>
    </xf>
    <xf numFmtId="9" fontId="3" fillId="0" borderId="8" xfId="7" applyNumberFormat="1" applyFill="1" applyBorder="1" applyAlignment="1" applyProtection="1">
      <alignment horizontal="center"/>
      <protection locked="0"/>
    </xf>
    <xf numFmtId="9" fontId="3" fillId="0" borderId="6" xfId="7" applyNumberFormat="1" applyFill="1" applyBorder="1" applyAlignment="1" applyProtection="1">
      <alignment horizontal="center"/>
      <protection locked="0"/>
    </xf>
    <xf numFmtId="5" fontId="0" fillId="0" borderId="0" xfId="0" applyNumberFormat="1" applyAlignment="1">
      <alignment horizontal="center"/>
    </xf>
    <xf numFmtId="0" fontId="0" fillId="0" borderId="25" xfId="0" applyFont="1" applyBorder="1" applyAlignment="1">
      <alignment horizontal="center"/>
    </xf>
    <xf numFmtId="0" fontId="0" fillId="0" borderId="25" xfId="0" applyBorder="1" applyAlignment="1">
      <alignment horizontal="center"/>
    </xf>
    <xf numFmtId="0" fontId="14" fillId="0" borderId="0" xfId="0" applyFont="1" applyAlignment="1">
      <alignment horizontal="center"/>
    </xf>
    <xf numFmtId="0" fontId="0" fillId="0" borderId="0" xfId="0" applyFont="1" applyAlignment="1">
      <alignment horizontal="center"/>
    </xf>
    <xf numFmtId="7" fontId="0" fillId="0" borderId="0" xfId="1" applyNumberFormat="1" applyFont="1" applyAlignment="1">
      <alignment horizontal="center"/>
    </xf>
    <xf numFmtId="7" fontId="0" fillId="0" borderId="0" xfId="3" applyNumberFormat="1" applyFont="1" applyAlignment="1">
      <alignment horizontal="center"/>
    </xf>
    <xf numFmtId="5" fontId="0" fillId="0" borderId="0" xfId="3" applyNumberFormat="1" applyFont="1" applyAlignment="1">
      <alignment horizontal="center"/>
    </xf>
    <xf numFmtId="0" fontId="9" fillId="0" borderId="7" xfId="0" applyFont="1" applyBorder="1" applyAlignment="1" applyProtection="1">
      <alignment horizontal="right"/>
    </xf>
    <xf numFmtId="0" fontId="9" fillId="0" borderId="3" xfId="0" applyFont="1" applyBorder="1" applyAlignment="1" applyProtection="1">
      <alignment horizontal="right"/>
    </xf>
    <xf numFmtId="0" fontId="0" fillId="0" borderId="9" xfId="0" applyBorder="1" applyAlignment="1">
      <alignment horizontal="right"/>
    </xf>
    <xf numFmtId="9" fontId="0" fillId="0" borderId="10" xfId="0" applyNumberFormat="1" applyBorder="1" applyAlignment="1">
      <alignment horizontal="center"/>
    </xf>
    <xf numFmtId="10" fontId="0" fillId="0" borderId="0" xfId="3" applyNumberFormat="1" applyFont="1" applyAlignment="1">
      <alignment horizontal="center"/>
    </xf>
    <xf numFmtId="167" fontId="0" fillId="0" borderId="0" xfId="0" applyNumberFormat="1" applyAlignment="1">
      <alignment horizontal="center"/>
    </xf>
    <xf numFmtId="167" fontId="4" fillId="0" borderId="15" xfId="0" applyNumberFormat="1" applyFont="1" applyBorder="1" applyAlignment="1">
      <alignment horizontal="center"/>
    </xf>
    <xf numFmtId="167" fontId="4" fillId="0" borderId="0" xfId="0" applyNumberFormat="1" applyFont="1" applyAlignment="1">
      <alignment horizontal="center"/>
    </xf>
    <xf numFmtId="165" fontId="0" fillId="0" borderId="0" xfId="0" applyNumberFormat="1" applyAlignment="1">
      <alignment horizontal="center"/>
    </xf>
    <xf numFmtId="10" fontId="0" fillId="0" borderId="24" xfId="0" applyNumberFormat="1" applyBorder="1" applyAlignment="1">
      <alignment horizontal="center"/>
    </xf>
    <xf numFmtId="10" fontId="0" fillId="0" borderId="6" xfId="3" applyNumberFormat="1" applyFont="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3" xfId="0" applyFill="1" applyBorder="1" applyAlignment="1">
      <alignment horizontal="center"/>
    </xf>
    <xf numFmtId="167" fontId="0" fillId="2" borderId="6" xfId="0" applyNumberFormat="1" applyFill="1" applyBorder="1" applyAlignment="1">
      <alignment horizontal="center"/>
    </xf>
    <xf numFmtId="10" fontId="0" fillId="2" borderId="6" xfId="3" applyNumberFormat="1" applyFont="1" applyFill="1" applyBorder="1" applyAlignment="1">
      <alignment horizontal="center"/>
    </xf>
    <xf numFmtId="0" fontId="13" fillId="6" borderId="8" xfId="8" applyBorder="1" applyAlignment="1">
      <alignment horizontal="center"/>
    </xf>
    <xf numFmtId="167" fontId="13" fillId="6" borderId="4" xfId="8" applyNumberFormat="1" applyBorder="1" applyAlignment="1">
      <alignment horizontal="center"/>
    </xf>
    <xf numFmtId="0" fontId="0" fillId="0" borderId="0" xfId="0" applyBorder="1"/>
    <xf numFmtId="165" fontId="0" fillId="0" borderId="0" xfId="0" applyNumberFormat="1"/>
    <xf numFmtId="165" fontId="0" fillId="0" borderId="0" xfId="0" applyNumberFormat="1" applyAlignment="1">
      <alignment horizontal="center" vertical="top"/>
    </xf>
    <xf numFmtId="0" fontId="4" fillId="0" borderId="23" xfId="0" applyFont="1" applyBorder="1" applyAlignment="1">
      <alignment horizontal="center"/>
    </xf>
    <xf numFmtId="0" fontId="3" fillId="5" borderId="0" xfId="7" applyAlignment="1" applyProtection="1">
      <alignment horizontal="center"/>
      <protection locked="0"/>
    </xf>
    <xf numFmtId="9" fontId="0" fillId="0" borderId="0" xfId="0" applyNumberFormat="1" applyBorder="1" applyAlignment="1">
      <alignment horizontal="center"/>
    </xf>
    <xf numFmtId="0" fontId="0" fillId="0" borderId="15" xfId="0" applyBorder="1" applyAlignment="1">
      <alignment horizontal="center"/>
    </xf>
    <xf numFmtId="9" fontId="0" fillId="0" borderId="15" xfId="0" applyNumberFormat="1" applyBorder="1" applyAlignment="1">
      <alignment horizontal="center"/>
    </xf>
    <xf numFmtId="9" fontId="0" fillId="0" borderId="20" xfId="0" applyNumberFormat="1" applyBorder="1" applyAlignment="1">
      <alignment horizontal="center"/>
    </xf>
    <xf numFmtId="0" fontId="0" fillId="0" borderId="1" xfId="0" applyBorder="1" applyAlignment="1">
      <alignment horizontal="right"/>
    </xf>
    <xf numFmtId="165" fontId="0" fillId="0" borderId="12" xfId="0" applyNumberFormat="1" applyBorder="1" applyAlignment="1">
      <alignment horizontal="center"/>
    </xf>
    <xf numFmtId="165" fontId="0" fillId="0" borderId="13" xfId="0" applyNumberFormat="1" applyBorder="1" applyAlignment="1">
      <alignment horizontal="center"/>
    </xf>
    <xf numFmtId="10" fontId="0" fillId="0" borderId="12" xfId="0" applyNumberFormat="1" applyBorder="1" applyAlignment="1">
      <alignment horizontal="center"/>
    </xf>
    <xf numFmtId="10" fontId="0" fillId="0" borderId="0" xfId="0" applyNumberFormat="1" applyBorder="1" applyAlignment="1">
      <alignment horizontal="center"/>
    </xf>
    <xf numFmtId="9" fontId="0" fillId="0" borderId="21" xfId="0" applyNumberFormat="1" applyBorder="1" applyAlignment="1">
      <alignment horizontal="center"/>
    </xf>
    <xf numFmtId="9" fontId="0" fillId="0" borderId="19" xfId="0" applyNumberFormat="1" applyBorder="1" applyAlignment="1">
      <alignment horizontal="center"/>
    </xf>
    <xf numFmtId="10" fontId="0" fillId="0" borderId="19" xfId="0" applyNumberFormat="1" applyBorder="1" applyAlignment="1">
      <alignment horizontal="center"/>
    </xf>
    <xf numFmtId="10" fontId="0" fillId="0" borderId="0" xfId="3" applyNumberFormat="1" applyFont="1" applyBorder="1" applyAlignment="1">
      <alignment horizontal="center"/>
    </xf>
    <xf numFmtId="10" fontId="0" fillId="0" borderId="8" xfId="3" applyNumberFormat="1" applyFont="1" applyBorder="1" applyAlignment="1">
      <alignment horizontal="center"/>
    </xf>
    <xf numFmtId="10" fontId="0" fillId="0" borderId="4" xfId="3" applyNumberFormat="1" applyFont="1" applyBorder="1" applyAlignment="1">
      <alignment horizontal="center"/>
    </xf>
    <xf numFmtId="0" fontId="0" fillId="0" borderId="19" xfId="0" applyBorder="1"/>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165" fontId="0" fillId="0" borderId="0" xfId="0" applyNumberFormat="1" applyAlignment="1">
      <alignment horizontal="center"/>
    </xf>
    <xf numFmtId="0" fontId="5" fillId="0" borderId="0" xfId="0" applyFont="1" applyAlignment="1">
      <alignment horizontal="left"/>
    </xf>
    <xf numFmtId="10" fontId="13" fillId="6" borderId="0" xfId="8" applyNumberFormat="1" applyAlignment="1">
      <alignment horizontal="center"/>
    </xf>
    <xf numFmtId="9" fontId="0" fillId="0" borderId="2" xfId="0" applyNumberFormat="1" applyBorder="1"/>
    <xf numFmtId="0" fontId="9" fillId="0" borderId="0" xfId="0" applyFont="1" applyAlignment="1" applyProtection="1">
      <alignment vertical="center"/>
    </xf>
    <xf numFmtId="165" fontId="11" fillId="0" borderId="0" xfId="0" applyNumberFormat="1" applyFont="1" applyAlignment="1">
      <alignment horizontal="center"/>
    </xf>
    <xf numFmtId="165" fontId="0" fillId="0" borderId="12" xfId="0" applyNumberFormat="1" applyBorder="1"/>
    <xf numFmtId="0" fontId="0" fillId="0" borderId="1" xfId="0" applyBorder="1"/>
    <xf numFmtId="0" fontId="6" fillId="3" borderId="8" xfId="4" applyBorder="1"/>
    <xf numFmtId="10" fontId="0" fillId="0" borderId="0" xfId="0" applyNumberFormat="1" applyFill="1" applyBorder="1" applyAlignment="1">
      <alignment horizontal="center"/>
    </xf>
    <xf numFmtId="165" fontId="0" fillId="0" borderId="16" xfId="0" applyNumberFormat="1" applyBorder="1"/>
    <xf numFmtId="170" fontId="0" fillId="0" borderId="0" xfId="1" applyNumberFormat="1" applyFont="1" applyAlignment="1">
      <alignment horizontal="center"/>
    </xf>
    <xf numFmtId="165" fontId="0" fillId="0" borderId="0" xfId="1" applyNumberFormat="1" applyFont="1" applyAlignment="1">
      <alignment horizontal="center"/>
    </xf>
    <xf numFmtId="9" fontId="0" fillId="0" borderId="1" xfId="0" applyNumberFormat="1" applyBorder="1" applyAlignment="1">
      <alignment horizontal="center"/>
    </xf>
    <xf numFmtId="165" fontId="0" fillId="0" borderId="16" xfId="0" applyNumberFormat="1" applyBorder="1" applyAlignment="1">
      <alignment horizontal="center"/>
    </xf>
    <xf numFmtId="10" fontId="0" fillId="0" borderId="2" xfId="0" applyNumberFormat="1" applyFill="1" applyBorder="1" applyAlignment="1">
      <alignment horizontal="center"/>
    </xf>
    <xf numFmtId="10" fontId="0" fillId="0" borderId="8" xfId="0" applyNumberFormat="1" applyFill="1" applyBorder="1" applyAlignment="1">
      <alignment horizontal="center"/>
    </xf>
    <xf numFmtId="10" fontId="0" fillId="0" borderId="4" xfId="0" applyNumberFormat="1" applyFill="1" applyBorder="1" applyAlignment="1">
      <alignment horizontal="center"/>
    </xf>
    <xf numFmtId="10" fontId="6" fillId="3" borderId="13" xfId="4" applyNumberFormat="1" applyBorder="1"/>
    <xf numFmtId="0" fontId="4" fillId="0" borderId="15" xfId="0" applyFont="1" applyBorder="1" applyAlignment="1">
      <alignment horizontal="center" vertical="top" wrapText="1"/>
    </xf>
    <xf numFmtId="0" fontId="4" fillId="0" borderId="26" xfId="0" applyFont="1" applyBorder="1" applyAlignment="1">
      <alignment horizontal="center" vertical="top" wrapText="1"/>
    </xf>
    <xf numFmtId="0" fontId="15" fillId="0" borderId="20" xfId="0" applyFont="1" applyBorder="1" applyAlignment="1" applyProtection="1">
      <alignment horizontal="center" vertical="top" wrapText="1"/>
    </xf>
    <xf numFmtId="0" fontId="15" fillId="0" borderId="15" xfId="0" applyFont="1" applyBorder="1" applyAlignment="1" applyProtection="1">
      <alignment horizontal="center" vertical="top" wrapText="1"/>
    </xf>
    <xf numFmtId="0" fontId="0" fillId="0" borderId="0" xfId="0" applyAlignment="1">
      <alignment horizontal="center"/>
    </xf>
    <xf numFmtId="0" fontId="0" fillId="0" borderId="9" xfId="0" applyBorder="1" applyAlignment="1">
      <alignment horizontal="center"/>
    </xf>
    <xf numFmtId="0" fontId="4" fillId="0" borderId="5" xfId="0" applyFont="1" applyBorder="1" applyAlignment="1">
      <alignment horizontal="center"/>
    </xf>
    <xf numFmtId="0" fontId="0" fillId="0" borderId="13" xfId="0" applyBorder="1" applyAlignment="1">
      <alignment horizontal="center"/>
    </xf>
    <xf numFmtId="165" fontId="0" fillId="0" borderId="0" xfId="0" applyNumberFormat="1" applyBorder="1" applyAlignment="1">
      <alignment horizontal="center"/>
    </xf>
    <xf numFmtId="165" fontId="0" fillId="0" borderId="8" xfId="0" applyNumberFormat="1" applyBorder="1" applyAlignment="1">
      <alignment horizontal="center"/>
    </xf>
    <xf numFmtId="165" fontId="0" fillId="0" borderId="6" xfId="0" applyNumberFormat="1" applyBorder="1" applyAlignment="1">
      <alignment horizontal="center"/>
    </xf>
    <xf numFmtId="165" fontId="0" fillId="0" borderId="4" xfId="0" applyNumberFormat="1" applyBorder="1" applyAlignment="1">
      <alignment horizontal="center"/>
    </xf>
    <xf numFmtId="9" fontId="0" fillId="0" borderId="0" xfId="3" applyNumberFormat="1" applyFont="1" applyAlignment="1">
      <alignment horizontal="center"/>
    </xf>
    <xf numFmtId="10" fontId="0" fillId="0" borderId="13" xfId="0" applyNumberFormat="1" applyBorder="1" applyAlignment="1">
      <alignment horizontal="center"/>
    </xf>
    <xf numFmtId="8" fontId="0" fillId="0" borderId="0" xfId="0" applyNumberFormat="1" applyAlignment="1">
      <alignment horizontal="center"/>
    </xf>
    <xf numFmtId="167" fontId="0" fillId="0" borderId="2" xfId="0" applyNumberFormat="1" applyBorder="1" applyAlignment="1">
      <alignment horizontal="center"/>
    </xf>
    <xf numFmtId="10" fontId="0" fillId="0" borderId="10" xfId="3" applyNumberFormat="1" applyFont="1" applyBorder="1" applyAlignment="1">
      <alignment horizontal="center"/>
    </xf>
    <xf numFmtId="0" fontId="9" fillId="0" borderId="0" xfId="0" applyFont="1" applyBorder="1" applyAlignment="1" applyProtection="1">
      <alignment horizontal="right" vertical="top"/>
    </xf>
    <xf numFmtId="0" fontId="21" fillId="0" borderId="0" xfId="0" applyFont="1"/>
    <xf numFmtId="0" fontId="21" fillId="0" borderId="12" xfId="0" applyFont="1" applyBorder="1"/>
    <xf numFmtId="0" fontId="21" fillId="0" borderId="0" xfId="0" applyFont="1" applyBorder="1"/>
    <xf numFmtId="165" fontId="21" fillId="0" borderId="0" xfId="0" applyNumberFormat="1" applyFont="1"/>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8" fontId="21" fillId="0" borderId="0" xfId="0" applyNumberFormat="1" applyFont="1" applyAlignment="1">
      <alignment horizontal="left" vertical="top" wrapText="1"/>
    </xf>
    <xf numFmtId="0" fontId="32" fillId="0" borderId="0" xfId="0" applyFont="1" applyAlignment="1">
      <alignment vertical="top" wrapText="1"/>
    </xf>
    <xf numFmtId="169" fontId="34" fillId="0" borderId="0" xfId="3" applyNumberFormat="1" applyFont="1" applyBorder="1" applyAlignment="1">
      <alignment horizontal="left" vertical="center"/>
    </xf>
    <xf numFmtId="0" fontId="0" fillId="0" borderId="0" xfId="0" applyAlignment="1">
      <alignment horizontal="center"/>
    </xf>
    <xf numFmtId="10" fontId="21" fillId="0" borderId="0" xfId="0" applyNumberFormat="1" applyFont="1"/>
    <xf numFmtId="165" fontId="2" fillId="0" borderId="0" xfId="0" applyNumberFormat="1" applyFont="1" applyAlignment="1">
      <alignment horizontal="center" vertical="top"/>
    </xf>
    <xf numFmtId="0" fontId="0" fillId="0" borderId="7"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2" fillId="0" borderId="0" xfId="9"/>
    <xf numFmtId="9" fontId="2" fillId="0" borderId="0" xfId="9" applyNumberFormat="1"/>
    <xf numFmtId="0" fontId="2" fillId="0" borderId="0" xfId="9" applyAlignment="1"/>
    <xf numFmtId="0" fontId="2" fillId="0" borderId="0" xfId="14"/>
    <xf numFmtId="0" fontId="2" fillId="0" borderId="0" xfId="14" applyAlignment="1"/>
    <xf numFmtId="9" fontId="2" fillId="0" borderId="0" xfId="14" applyNumberFormat="1"/>
    <xf numFmtId="0" fontId="11" fillId="0" borderId="0" xfId="14" applyFont="1"/>
    <xf numFmtId="0" fontId="2" fillId="0" borderId="0" xfId="9" applyAlignment="1">
      <alignment horizontal="center"/>
    </xf>
    <xf numFmtId="0" fontId="2" fillId="0" borderId="0" xfId="9" applyFill="1"/>
    <xf numFmtId="0" fontId="11" fillId="0" borderId="0" xfId="13"/>
    <xf numFmtId="10" fontId="2" fillId="0" borderId="0" xfId="3" applyNumberFormat="1" applyFont="1"/>
    <xf numFmtId="0" fontId="37" fillId="0" borderId="0" xfId="14" applyFont="1"/>
    <xf numFmtId="0" fontId="15" fillId="0" borderId="11" xfId="14" applyFont="1" applyBorder="1" applyAlignment="1">
      <alignment horizontal="center"/>
    </xf>
    <xf numFmtId="10" fontId="15" fillId="0" borderId="33" xfId="14" applyNumberFormat="1" applyFont="1"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9" xfId="0" applyBorder="1" applyAlignment="1">
      <alignment horizontal="center"/>
    </xf>
    <xf numFmtId="10" fontId="0" fillId="10" borderId="13" xfId="0" applyNumberForma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1" fontId="0" fillId="0" borderId="0" xfId="0" applyNumberFormat="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0" fillId="0" borderId="6" xfId="0" applyBorder="1"/>
    <xf numFmtId="0" fontId="15" fillId="0" borderId="0" xfId="0" applyFont="1" applyAlignment="1">
      <alignment horizontal="right"/>
    </xf>
    <xf numFmtId="0" fontId="0" fillId="0" borderId="0" xfId="0" applyAlignment="1">
      <alignment horizontal="center"/>
    </xf>
    <xf numFmtId="0" fontId="0" fillId="0" borderId="12" xfId="0" applyBorder="1" applyAlignment="1">
      <alignment horizontal="center"/>
    </xf>
    <xf numFmtId="0" fontId="0" fillId="0" borderId="7" xfId="0" applyBorder="1" applyAlignment="1">
      <alignment horizontal="center"/>
    </xf>
    <xf numFmtId="165" fontId="0" fillId="0" borderId="0" xfId="0" applyNumberFormat="1" applyAlignment="1">
      <alignment horizontal="center"/>
    </xf>
    <xf numFmtId="0" fontId="0" fillId="0" borderId="3" xfId="0" applyBorder="1" applyAlignment="1">
      <alignment horizontal="center"/>
    </xf>
    <xf numFmtId="0" fontId="0" fillId="0" borderId="7" xfId="0" applyFill="1" applyBorder="1" applyAlignment="1">
      <alignment horizontal="center"/>
    </xf>
    <xf numFmtId="167" fontId="0" fillId="0" borderId="0" xfId="0" applyNumberFormat="1" applyAlignment="1">
      <alignment horizontal="right"/>
    </xf>
    <xf numFmtId="167" fontId="0" fillId="0" borderId="12" xfId="0" applyNumberFormat="1" applyBorder="1" applyAlignment="1">
      <alignment horizontal="right"/>
    </xf>
    <xf numFmtId="167" fontId="0" fillId="0" borderId="12" xfId="0" applyNumberFormat="1" applyBorder="1" applyAlignment="1">
      <alignment horizontal="center"/>
    </xf>
    <xf numFmtId="0" fontId="0" fillId="0" borderId="12" xfId="0" applyBorder="1"/>
    <xf numFmtId="167" fontId="0" fillId="0" borderId="19" xfId="0" applyNumberFormat="1" applyBorder="1" applyAlignment="1">
      <alignment horizontal="center"/>
    </xf>
    <xf numFmtId="0" fontId="41" fillId="0" borderId="0" xfId="0" applyFont="1"/>
    <xf numFmtId="0" fontId="0" fillId="0" borderId="0" xfId="0" applyAlignment="1">
      <alignment horizontal="center"/>
    </xf>
    <xf numFmtId="0" fontId="7" fillId="9" borderId="0" xfId="0" applyFont="1" applyFill="1" applyAlignment="1" applyProtection="1">
      <alignment horizontal="center"/>
    </xf>
    <xf numFmtId="0" fontId="21" fillId="0" borderId="0" xfId="0" applyFont="1" applyAlignment="1">
      <alignment horizontal="left" vertical="top" wrapText="1"/>
    </xf>
    <xf numFmtId="0" fontId="23" fillId="0" borderId="6" xfId="0" applyFont="1" applyBorder="1" applyAlignment="1">
      <alignment horizontal="center" vertical="top" wrapText="1"/>
    </xf>
    <xf numFmtId="10" fontId="21" fillId="0" borderId="29" xfId="3" applyNumberFormat="1" applyFont="1" applyBorder="1" applyAlignment="1">
      <alignment horizontal="right" vertical="top" wrapText="1" indent="7"/>
    </xf>
    <xf numFmtId="10" fontId="21" fillId="0" borderId="5" xfId="3" applyNumberFormat="1" applyFont="1" applyBorder="1" applyAlignment="1">
      <alignment horizontal="right" vertical="top" wrapText="1" indent="7"/>
    </xf>
    <xf numFmtId="10" fontId="21" fillId="0" borderId="12" xfId="3" applyNumberFormat="1" applyFont="1" applyBorder="1" applyAlignment="1">
      <alignment horizontal="right" vertical="top" wrapText="1" indent="7"/>
    </xf>
    <xf numFmtId="10" fontId="21" fillId="0" borderId="0" xfId="3" applyNumberFormat="1" applyFont="1" applyBorder="1" applyAlignment="1">
      <alignment horizontal="right" vertical="top" wrapText="1" indent="7"/>
    </xf>
    <xf numFmtId="10" fontId="21" fillId="7" borderId="31" xfId="3" applyNumberFormat="1" applyFont="1" applyFill="1" applyBorder="1" applyAlignment="1">
      <alignment horizontal="right" vertical="center" wrapText="1" indent="7"/>
    </xf>
    <xf numFmtId="10" fontId="21" fillId="7" borderId="30" xfId="3" applyNumberFormat="1" applyFont="1" applyFill="1" applyBorder="1" applyAlignment="1">
      <alignment horizontal="right" vertical="center" wrapText="1" indent="7"/>
    </xf>
    <xf numFmtId="171" fontId="21" fillId="0" borderId="12" xfId="2" applyNumberFormat="1" applyFont="1" applyBorder="1" applyAlignment="1">
      <alignment horizontal="right" vertical="top" wrapText="1" indent="7"/>
    </xf>
    <xf numFmtId="171" fontId="21" fillId="0" borderId="0" xfId="2" applyNumberFormat="1" applyFont="1" applyBorder="1" applyAlignment="1">
      <alignment horizontal="right" vertical="top" wrapText="1" indent="7"/>
    </xf>
    <xf numFmtId="0" fontId="21" fillId="0" borderId="0" xfId="0" applyFont="1" applyAlignment="1">
      <alignment horizontal="right" vertical="top" wrapText="1" indent="3"/>
    </xf>
    <xf numFmtId="0" fontId="21" fillId="7" borderId="30" xfId="0" applyFont="1" applyFill="1" applyBorder="1" applyAlignment="1">
      <alignment horizontal="right" vertical="center" wrapText="1" indent="3"/>
    </xf>
    <xf numFmtId="0" fontId="11" fillId="0" borderId="0" xfId="0" applyFont="1" applyAlignment="1">
      <alignment horizontal="left" vertical="top" wrapText="1"/>
    </xf>
    <xf numFmtId="0" fontId="21" fillId="0" borderId="0" xfId="0" applyFont="1" applyAlignment="1">
      <alignment horizontal="right"/>
    </xf>
    <xf numFmtId="0" fontId="23" fillId="0" borderId="0" xfId="0" applyFont="1" applyAlignment="1">
      <alignment horizontal="left" vertical="top" wrapText="1"/>
    </xf>
    <xf numFmtId="0" fontId="23" fillId="0" borderId="6" xfId="0" applyFont="1" applyFill="1" applyBorder="1" applyAlignment="1">
      <alignment horizontal="center" vertical="top" wrapText="1"/>
    </xf>
    <xf numFmtId="172" fontId="22" fillId="8" borderId="0" xfId="3" applyNumberFormat="1" applyFont="1" applyFill="1" applyAlignment="1" applyProtection="1">
      <alignment horizontal="center"/>
      <protection locked="0"/>
    </xf>
    <xf numFmtId="172" fontId="22" fillId="8" borderId="19" xfId="3" applyNumberFormat="1" applyFont="1" applyFill="1" applyBorder="1" applyAlignment="1" applyProtection="1">
      <alignment horizontal="center"/>
      <protection locked="0"/>
    </xf>
    <xf numFmtId="0" fontId="2" fillId="0" borderId="12" xfId="0" applyFont="1" applyBorder="1" applyAlignment="1" applyProtection="1">
      <alignment horizontal="right"/>
    </xf>
    <xf numFmtId="0" fontId="2" fillId="0" borderId="0" xfId="0" applyFont="1" applyBorder="1" applyAlignment="1" applyProtection="1">
      <alignment horizontal="right"/>
    </xf>
    <xf numFmtId="0" fontId="21" fillId="0" borderId="0" xfId="0" applyFont="1" applyAlignment="1">
      <alignment horizontal="center"/>
    </xf>
    <xf numFmtId="9" fontId="21" fillId="0" borderId="16" xfId="3" applyFont="1" applyBorder="1" applyAlignment="1">
      <alignment horizontal="center"/>
    </xf>
    <xf numFmtId="9" fontId="21" fillId="0" borderId="17" xfId="3" applyFont="1" applyBorder="1" applyAlignment="1">
      <alignment horizontal="center"/>
    </xf>
    <xf numFmtId="0" fontId="9" fillId="0" borderId="0" xfId="0" applyFont="1" applyAlignment="1" applyProtection="1">
      <alignment horizontal="right"/>
    </xf>
    <xf numFmtId="0" fontId="9" fillId="0" borderId="19" xfId="0" applyFont="1" applyBorder="1" applyAlignment="1" applyProtection="1">
      <alignment horizontal="right"/>
    </xf>
    <xf numFmtId="0" fontId="15" fillId="0" borderId="15" xfId="0" applyFont="1" applyBorder="1" applyAlignment="1" applyProtection="1">
      <alignment horizontal="center"/>
    </xf>
    <xf numFmtId="0" fontId="29" fillId="0" borderId="0" xfId="0" applyFont="1" applyAlignment="1">
      <alignment horizontal="center"/>
    </xf>
    <xf numFmtId="0" fontId="30" fillId="0" borderId="0" xfId="0" applyFont="1" applyAlignment="1">
      <alignment horizontal="center"/>
    </xf>
    <xf numFmtId="0" fontId="2" fillId="0" borderId="0" xfId="0" applyFont="1" applyAlignment="1" applyProtection="1">
      <alignment horizontal="right" wrapText="1"/>
    </xf>
    <xf numFmtId="0" fontId="24" fillId="0" borderId="0" xfId="0" applyFont="1" applyBorder="1" applyAlignment="1">
      <alignment horizontal="center" wrapText="1"/>
    </xf>
    <xf numFmtId="0" fontId="1" fillId="0" borderId="0" xfId="0" applyFont="1" applyAlignment="1" applyProtection="1">
      <alignment horizontal="right"/>
    </xf>
    <xf numFmtId="0" fontId="1" fillId="0" borderId="19" xfId="0" applyFont="1" applyBorder="1" applyAlignment="1" applyProtection="1">
      <alignment horizontal="right"/>
    </xf>
    <xf numFmtId="165" fontId="22" fillId="8" borderId="0" xfId="7" applyNumberFormat="1" applyFont="1" applyFill="1" applyAlignment="1" applyProtection="1">
      <alignment horizontal="center"/>
      <protection locked="0"/>
    </xf>
    <xf numFmtId="165" fontId="22" fillId="8" borderId="19" xfId="7" applyNumberFormat="1" applyFont="1" applyFill="1" applyBorder="1" applyAlignment="1" applyProtection="1">
      <alignment horizontal="center"/>
      <protection locked="0"/>
    </xf>
    <xf numFmtId="0" fontId="33" fillId="0" borderId="0" xfId="0" applyFont="1" applyAlignment="1">
      <alignment horizontal="left"/>
    </xf>
    <xf numFmtId="10" fontId="22" fillId="8" borderId="0" xfId="3" applyNumberFormat="1" applyFont="1" applyFill="1" applyAlignment="1" applyProtection="1">
      <alignment horizontal="center" vertical="center"/>
      <protection locked="0"/>
    </xf>
    <xf numFmtId="10" fontId="22" fillId="8" borderId="19" xfId="3" applyNumberFormat="1" applyFont="1" applyFill="1" applyBorder="1" applyAlignment="1" applyProtection="1">
      <alignment horizontal="center" vertical="center"/>
      <protection locked="0"/>
    </xf>
    <xf numFmtId="0" fontId="18" fillId="0" borderId="0" xfId="0" applyFont="1" applyAlignment="1">
      <alignment horizontal="right"/>
    </xf>
    <xf numFmtId="0" fontId="18" fillId="0" borderId="0" xfId="0" applyFont="1" applyAlignment="1">
      <alignment horizontal="left" vertical="top"/>
    </xf>
    <xf numFmtId="0" fontId="8" fillId="0" borderId="0" xfId="0" applyFont="1" applyAlignment="1" applyProtection="1">
      <alignment horizontal="center" wrapText="1"/>
    </xf>
    <xf numFmtId="0" fontId="8" fillId="0" borderId="0" xfId="0" applyFont="1" applyAlignment="1" applyProtection="1">
      <alignment horizontal="center"/>
    </xf>
    <xf numFmtId="0" fontId="9" fillId="0" borderId="0" xfId="0" applyFont="1" applyBorder="1" applyAlignment="1" applyProtection="1">
      <alignment horizontal="right"/>
    </xf>
    <xf numFmtId="0" fontId="9" fillId="0" borderId="0" xfId="0" applyFont="1" applyBorder="1" applyAlignment="1" applyProtection="1">
      <alignment horizontal="right" vertical="center"/>
    </xf>
    <xf numFmtId="0" fontId="11" fillId="0" borderId="0" xfId="5" applyFont="1" applyAlignment="1" applyProtection="1">
      <alignment horizontal="right"/>
    </xf>
    <xf numFmtId="0" fontId="9" fillId="0" borderId="0" xfId="0" applyFont="1" applyAlignment="1" applyProtection="1">
      <alignment horizontal="right" vertical="center"/>
    </xf>
    <xf numFmtId="0" fontId="2" fillId="0" borderId="0" xfId="0" applyFont="1" applyBorder="1" applyAlignment="1" applyProtection="1">
      <alignment horizontal="right" vertical="top" wrapText="1"/>
    </xf>
    <xf numFmtId="0" fontId="9" fillId="0" borderId="0" xfId="0" applyFont="1" applyBorder="1" applyAlignment="1" applyProtection="1">
      <alignment horizontal="right" vertical="top"/>
    </xf>
    <xf numFmtId="165" fontId="22" fillId="8" borderId="0" xfId="7" applyNumberFormat="1" applyFont="1" applyFill="1" applyBorder="1" applyAlignment="1" applyProtection="1">
      <alignment horizontal="center"/>
      <protection locked="0"/>
    </xf>
    <xf numFmtId="0" fontId="22" fillId="0" borderId="0" xfId="0" applyFont="1" applyBorder="1"/>
    <xf numFmtId="165" fontId="22" fillId="8" borderId="0" xfId="7" applyNumberFormat="1" applyFont="1" applyFill="1" applyBorder="1" applyAlignment="1" applyProtection="1">
      <alignment horizontal="center" vertical="center"/>
      <protection locked="0"/>
    </xf>
    <xf numFmtId="0" fontId="34" fillId="0" borderId="0" xfId="0" applyFont="1" applyAlignment="1">
      <alignment horizontal="center" vertical="top"/>
    </xf>
    <xf numFmtId="9" fontId="22" fillId="8" borderId="0" xfId="3" applyFont="1" applyFill="1" applyAlignment="1" applyProtection="1">
      <alignment horizontal="center"/>
      <protection locked="0"/>
    </xf>
    <xf numFmtId="9" fontId="22" fillId="8" borderId="19" xfId="3" applyFont="1" applyFill="1" applyBorder="1" applyAlignment="1" applyProtection="1">
      <alignment horizontal="center"/>
      <protection locked="0"/>
    </xf>
    <xf numFmtId="172" fontId="22" fillId="8" borderId="16" xfId="3" applyNumberFormat="1" applyFont="1" applyFill="1" applyBorder="1" applyAlignment="1" applyProtection="1">
      <alignment horizontal="center"/>
      <protection locked="0"/>
    </xf>
    <xf numFmtId="172" fontId="22" fillId="8" borderId="18" xfId="3" applyNumberFormat="1" applyFont="1" applyFill="1" applyBorder="1" applyAlignment="1" applyProtection="1">
      <alignment horizontal="center"/>
      <protection locked="0"/>
    </xf>
    <xf numFmtId="0" fontId="2" fillId="0" borderId="0" xfId="0" applyFont="1" applyAlignment="1" applyProtection="1">
      <alignment horizontal="right"/>
    </xf>
    <xf numFmtId="0" fontId="2" fillId="0" borderId="0" xfId="0" applyFont="1" applyAlignment="1" applyProtection="1">
      <alignment horizontal="right" vertical="center"/>
    </xf>
    <xf numFmtId="0" fontId="23" fillId="0" borderId="0" xfId="0" applyFont="1" applyAlignment="1">
      <alignment horizontal="left"/>
    </xf>
    <xf numFmtId="165" fontId="22" fillId="8" borderId="0" xfId="7" applyNumberFormat="1" applyFont="1" applyFill="1" applyAlignment="1" applyProtection="1">
      <alignment horizontal="center" vertical="center"/>
      <protection locked="0"/>
    </xf>
    <xf numFmtId="165" fontId="22" fillId="8" borderId="19" xfId="7" applyNumberFormat="1" applyFont="1" applyFill="1" applyBorder="1" applyAlignment="1" applyProtection="1">
      <alignment horizontal="center" vertical="center"/>
      <protection locked="0"/>
    </xf>
    <xf numFmtId="165" fontId="21" fillId="0" borderId="15" xfId="0" applyNumberFormat="1" applyFont="1" applyBorder="1" applyAlignment="1">
      <alignment horizontal="center" vertical="top" wrapText="1"/>
    </xf>
    <xf numFmtId="0" fontId="21" fillId="0" borderId="15" xfId="0" applyFont="1" applyBorder="1" applyAlignment="1">
      <alignment horizontal="right" vertical="top" wrapText="1"/>
    </xf>
    <xf numFmtId="0" fontId="23" fillId="0" borderId="32" xfId="0" applyFont="1" applyBorder="1" applyAlignment="1">
      <alignment horizontal="right" vertical="top" wrapText="1"/>
    </xf>
    <xf numFmtId="165" fontId="23" fillId="0" borderId="32" xfId="0" applyNumberFormat="1" applyFont="1" applyBorder="1" applyAlignment="1">
      <alignment horizontal="center" vertical="top" wrapText="1"/>
    </xf>
    <xf numFmtId="0" fontId="23" fillId="0" borderId="32" xfId="0" applyFont="1" applyBorder="1" applyAlignment="1">
      <alignment horizontal="center" vertical="top" wrapText="1"/>
    </xf>
    <xf numFmtId="165" fontId="21" fillId="0" borderId="5" xfId="0" applyNumberFormat="1" applyFont="1" applyBorder="1" applyAlignment="1">
      <alignment horizontal="center" vertical="top" wrapText="1"/>
    </xf>
    <xf numFmtId="0" fontId="21" fillId="0" borderId="5" xfId="0" applyFont="1" applyBorder="1" applyAlignment="1">
      <alignment horizontal="right" vertical="top" wrapText="1"/>
    </xf>
    <xf numFmtId="165" fontId="21" fillId="0" borderId="0" xfId="0" applyNumberFormat="1" applyFont="1" applyAlignment="1">
      <alignment horizontal="center" vertical="top" wrapText="1"/>
    </xf>
    <xf numFmtId="0" fontId="21" fillId="0" borderId="0" xfId="0" applyFont="1" applyAlignment="1">
      <alignment horizontal="right" vertical="top" wrapText="1"/>
    </xf>
    <xf numFmtId="0" fontId="23" fillId="0" borderId="6" xfId="0" applyFont="1" applyBorder="1" applyAlignment="1" applyProtection="1">
      <alignment horizontal="center" vertical="top" wrapText="1"/>
    </xf>
    <xf numFmtId="0" fontId="23" fillId="0" borderId="6" xfId="0" applyFont="1" applyBorder="1" applyAlignment="1" applyProtection="1">
      <alignment horizontal="center" vertical="top"/>
    </xf>
    <xf numFmtId="0" fontId="23" fillId="0" borderId="27" xfId="0" applyFont="1" applyBorder="1" applyAlignment="1" applyProtection="1">
      <alignment horizontal="center" vertical="top"/>
    </xf>
    <xf numFmtId="0" fontId="23" fillId="0" borderId="28" xfId="0" applyFont="1" applyBorder="1" applyAlignment="1" applyProtection="1">
      <alignment horizontal="center" vertical="top" wrapText="1"/>
    </xf>
    <xf numFmtId="0" fontId="21" fillId="0" borderId="6" xfId="0" applyFont="1" applyBorder="1" applyAlignment="1" applyProtection="1">
      <alignment horizontal="center" vertical="top"/>
    </xf>
    <xf numFmtId="0" fontId="2" fillId="0" borderId="0" xfId="0" applyFont="1" applyAlignment="1">
      <alignment horizontal="right" vertical="top" wrapText="1"/>
    </xf>
    <xf numFmtId="0" fontId="0" fillId="0" borderId="0" xfId="0" applyAlignment="1">
      <alignment horizontal="left" vertical="top" wrapText="1"/>
    </xf>
    <xf numFmtId="0" fontId="41" fillId="0" borderId="0" xfId="0" applyFont="1" applyAlignment="1">
      <alignment horizontal="left"/>
    </xf>
    <xf numFmtId="0" fontId="4" fillId="0" borderId="0" xfId="0" applyFont="1" applyAlignment="1">
      <alignment horizontal="center"/>
    </xf>
    <xf numFmtId="0" fontId="4" fillId="0" borderId="12" xfId="0" applyFont="1" applyBorder="1" applyAlignment="1">
      <alignment horizontal="center"/>
    </xf>
    <xf numFmtId="0" fontId="4" fillId="0" borderId="19" xfId="0" applyFont="1" applyBorder="1" applyAlignment="1">
      <alignment horizontal="center"/>
    </xf>
    <xf numFmtId="9" fontId="4" fillId="0" borderId="12" xfId="0" applyNumberFormat="1" applyFont="1" applyBorder="1" applyAlignment="1">
      <alignment horizontal="center"/>
    </xf>
    <xf numFmtId="9" fontId="4" fillId="0" borderId="19" xfId="0" applyNumberFormat="1" applyFont="1" applyBorder="1" applyAlignment="1">
      <alignment horizontal="center"/>
    </xf>
    <xf numFmtId="0" fontId="0" fillId="0" borderId="0" xfId="0" applyAlignment="1">
      <alignment horizontal="center"/>
    </xf>
    <xf numFmtId="0" fontId="20" fillId="0" borderId="0" xfId="0" applyFont="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3" xfId="0" applyFont="1" applyBorder="1" applyAlignment="1">
      <alignment horizontal="center"/>
    </xf>
    <xf numFmtId="0" fontId="0" fillId="0" borderId="7" xfId="0" applyBorder="1" applyAlignment="1">
      <alignment horizontal="center"/>
    </xf>
    <xf numFmtId="6" fontId="0" fillId="0" borderId="0" xfId="0" applyNumberFormat="1" applyBorder="1" applyAlignment="1">
      <alignment horizontal="center"/>
    </xf>
    <xf numFmtId="6" fontId="0" fillId="0" borderId="8" xfId="0" applyNumberFormat="1" applyBorder="1" applyAlignment="1">
      <alignment horizontal="center"/>
    </xf>
    <xf numFmtId="0" fontId="0" fillId="0" borderId="1" xfId="0" applyBorder="1" applyAlignment="1">
      <alignment horizontal="center"/>
    </xf>
    <xf numFmtId="10" fontId="13" fillId="6" borderId="9" xfId="8" applyNumberFormat="1" applyBorder="1" applyAlignment="1">
      <alignment horizontal="center"/>
    </xf>
    <xf numFmtId="10" fontId="13" fillId="6" borderId="13" xfId="8" applyNumberFormat="1" applyBorder="1" applyAlignment="1">
      <alignment horizontal="center"/>
    </xf>
    <xf numFmtId="10" fontId="13" fillId="6" borderId="1" xfId="8" applyNumberFormat="1" applyBorder="1" applyAlignment="1">
      <alignment horizontal="center"/>
    </xf>
    <xf numFmtId="10" fontId="13" fillId="6" borderId="2" xfId="8" applyNumberFormat="1" applyBorder="1" applyAlignment="1">
      <alignment horizontal="center"/>
    </xf>
    <xf numFmtId="6" fontId="0" fillId="0" borderId="5" xfId="0" applyNumberFormat="1" applyBorder="1" applyAlignment="1">
      <alignment horizontal="center"/>
    </xf>
    <xf numFmtId="6" fontId="0" fillId="0" borderId="2" xfId="0" applyNumberFormat="1" applyBorder="1" applyAlignment="1">
      <alignment horizontal="center"/>
    </xf>
    <xf numFmtId="0" fontId="0" fillId="0" borderId="5" xfId="0" applyBorder="1" applyAlignment="1">
      <alignment horizontal="center"/>
    </xf>
    <xf numFmtId="6" fontId="13" fillId="6" borderId="0" xfId="8" applyNumberFormat="1" applyBorder="1" applyAlignment="1">
      <alignment horizontal="center"/>
    </xf>
    <xf numFmtId="6" fontId="13" fillId="6" borderId="8" xfId="8" applyNumberForma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165" fontId="0" fillId="0" borderId="0" xfId="0" applyNumberFormat="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10" borderId="9" xfId="0" applyFill="1" applyBorder="1" applyAlignment="1">
      <alignment horizontal="center"/>
    </xf>
    <xf numFmtId="0" fontId="0" fillId="10" borderId="13" xfId="0" applyFill="1" applyBorder="1" applyAlignment="1">
      <alignment horizontal="center"/>
    </xf>
    <xf numFmtId="165" fontId="40" fillId="0" borderId="7" xfId="0" applyNumberFormat="1" applyFont="1" applyBorder="1" applyAlignment="1">
      <alignment horizontal="left"/>
    </xf>
    <xf numFmtId="165" fontId="0" fillId="0" borderId="0" xfId="0" applyNumberFormat="1" applyAlignment="1">
      <alignment horizontal="left"/>
    </xf>
    <xf numFmtId="0" fontId="17" fillId="0" borderId="1" xfId="0" applyFont="1" applyBorder="1" applyAlignment="1">
      <alignment horizontal="center"/>
    </xf>
    <xf numFmtId="0" fontId="17" fillId="0" borderId="5" xfId="0" applyFont="1" applyBorder="1" applyAlignment="1">
      <alignment horizontal="center"/>
    </xf>
    <xf numFmtId="0" fontId="17" fillId="0" borderId="2" xfId="0" applyFont="1" applyBorder="1" applyAlignment="1">
      <alignment horizontal="center"/>
    </xf>
    <xf numFmtId="165" fontId="0" fillId="0" borderId="0" xfId="0" applyNumberFormat="1" applyBorder="1" applyAlignment="1">
      <alignment horizontal="center"/>
    </xf>
    <xf numFmtId="165" fontId="0" fillId="0" borderId="8" xfId="0" applyNumberFormat="1" applyBorder="1" applyAlignment="1">
      <alignment horizontal="center"/>
    </xf>
    <xf numFmtId="0" fontId="16" fillId="3" borderId="0" xfId="4" applyFont="1" applyAlignment="1">
      <alignment horizontal="center"/>
    </xf>
    <xf numFmtId="165" fontId="0" fillId="0" borderId="6" xfId="0" applyNumberFormat="1" applyBorder="1" applyAlignment="1">
      <alignment horizontal="center"/>
    </xf>
    <xf numFmtId="165" fontId="0" fillId="0" borderId="4" xfId="0" applyNumberFormat="1" applyBorder="1" applyAlignment="1">
      <alignment horizontal="center"/>
    </xf>
    <xf numFmtId="0" fontId="0" fillId="0" borderId="11" xfId="0" applyBorder="1" applyAlignment="1">
      <alignment horizontal="center" vertical="top" wrapText="1"/>
    </xf>
    <xf numFmtId="0" fontId="0" fillId="0" borderId="24" xfId="0" applyBorder="1" applyAlignment="1">
      <alignment horizontal="center" vertical="top" wrapText="1"/>
    </xf>
    <xf numFmtId="0" fontId="4" fillId="2" borderId="1"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xf>
    <xf numFmtId="10" fontId="0" fillId="10" borderId="0" xfId="3" applyNumberFormat="1" applyFont="1" applyFill="1" applyAlignment="1">
      <alignment horizontal="center"/>
    </xf>
    <xf numFmtId="0" fontId="0" fillId="10" borderId="0" xfId="0" applyFill="1" applyAlignment="1">
      <alignment horizontal="center"/>
    </xf>
  </cellXfs>
  <cellStyles count="15">
    <cellStyle name="20 % - Akzent2" xfId="6" builtinId="34"/>
    <cellStyle name="40 % - Akzent3" xfId="7" builtinId="39"/>
    <cellStyle name="Gut" xfId="4" builtinId="26"/>
    <cellStyle name="Komma" xfId="2" builtinId="3"/>
    <cellStyle name="Neutral" xfId="8" builtinId="28"/>
    <cellStyle name="Normal 2" xfId="10" xr:uid="{00000000-0005-0000-0000-000005000000}"/>
    <cellStyle name="Prozent" xfId="3" builtinId="5"/>
    <cellStyle name="Prozent 2" xfId="11" xr:uid="{00000000-0005-0000-0000-000007000000}"/>
    <cellStyle name="Prozent 3" xfId="12" xr:uid="{00000000-0005-0000-0000-000008000000}"/>
    <cellStyle name="Standard" xfId="0" builtinId="0"/>
    <cellStyle name="Standard 2" xfId="9" xr:uid="{00000000-0005-0000-0000-00000A000000}"/>
    <cellStyle name="Standard 2 2" xfId="14" xr:uid="{00000000-0005-0000-0000-00000B000000}"/>
    <cellStyle name="Standard 3" xfId="13" xr:uid="{00000000-0005-0000-0000-00000C000000}"/>
    <cellStyle name="Standard_ertragsanteil 05" xfId="5" xr:uid="{00000000-0005-0000-0000-00000D000000}"/>
    <cellStyle name="Währung" xfId="1"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1542799079758"/>
          <c:y val="4.5572161686443409E-2"/>
          <c:w val="0.89198457200920245"/>
          <c:h val="0.69813622198563818"/>
        </c:manualLayout>
      </c:layout>
      <c:barChart>
        <c:barDir val="col"/>
        <c:grouping val="clustered"/>
        <c:varyColors val="0"/>
        <c:ser>
          <c:idx val="0"/>
          <c:order val="0"/>
          <c:invertIfNegative val="0"/>
          <c:dPt>
            <c:idx val="0"/>
            <c:invertIfNegative val="0"/>
            <c:bubble3D val="0"/>
            <c:spPr>
              <a:solidFill>
                <a:schemeClr val="bg1">
                  <a:lumMod val="65000"/>
                </a:schemeClr>
              </a:solidFill>
            </c:spPr>
            <c:extLst>
              <c:ext xmlns:c16="http://schemas.microsoft.com/office/drawing/2014/chart" uri="{C3380CC4-5D6E-409C-BE32-E72D297353CC}">
                <c16:uniqueId val="{00000001-C0D0-4463-8C55-D24C0B252A32}"/>
              </c:ext>
            </c:extLst>
          </c:dPt>
          <c:dPt>
            <c:idx val="1"/>
            <c:invertIfNegative val="0"/>
            <c:bubble3D val="0"/>
            <c:spPr>
              <a:solidFill>
                <a:schemeClr val="bg1">
                  <a:lumMod val="65000"/>
                </a:schemeClr>
              </a:solidFill>
            </c:spPr>
            <c:extLst>
              <c:ext xmlns:c16="http://schemas.microsoft.com/office/drawing/2014/chart" uri="{C3380CC4-5D6E-409C-BE32-E72D297353CC}">
                <c16:uniqueId val="{00000003-C0D0-4463-8C55-D24C0B252A32}"/>
              </c:ext>
            </c:extLst>
          </c:dPt>
          <c:dPt>
            <c:idx val="2"/>
            <c:invertIfNegative val="0"/>
            <c:bubble3D val="0"/>
            <c:spPr>
              <a:solidFill>
                <a:schemeClr val="bg1">
                  <a:lumMod val="65000"/>
                </a:schemeClr>
              </a:solidFill>
            </c:spPr>
            <c:extLst>
              <c:ext xmlns:c16="http://schemas.microsoft.com/office/drawing/2014/chart" uri="{C3380CC4-5D6E-409C-BE32-E72D297353CC}">
                <c16:uniqueId val="{00000005-C0D0-4463-8C55-D24C0B252A32}"/>
              </c:ext>
            </c:extLst>
          </c:dPt>
          <c:dPt>
            <c:idx val="4"/>
            <c:invertIfNegative val="0"/>
            <c:bubble3D val="0"/>
            <c:spPr>
              <a:solidFill>
                <a:srgbClr val="C00000"/>
              </a:solidFill>
            </c:spPr>
            <c:extLst>
              <c:ext xmlns:c16="http://schemas.microsoft.com/office/drawing/2014/chart" uri="{C3380CC4-5D6E-409C-BE32-E72D297353CC}">
                <c16:uniqueId val="{00000007-C0D0-4463-8C55-D24C0B252A32}"/>
              </c:ext>
            </c:extLst>
          </c:dPt>
          <c:dPt>
            <c:idx val="5"/>
            <c:invertIfNegative val="0"/>
            <c:bubble3D val="0"/>
            <c:spPr>
              <a:solidFill>
                <a:srgbClr val="C00000"/>
              </a:solidFill>
            </c:spPr>
            <c:extLst>
              <c:ext xmlns:c16="http://schemas.microsoft.com/office/drawing/2014/chart" uri="{C3380CC4-5D6E-409C-BE32-E72D297353CC}">
                <c16:uniqueId val="{00000009-C0D0-4463-8C55-D24C0B252A32}"/>
              </c:ext>
            </c:extLst>
          </c:dPt>
          <c:dPt>
            <c:idx val="6"/>
            <c:invertIfNegative val="0"/>
            <c:bubble3D val="0"/>
            <c:spPr>
              <a:solidFill>
                <a:srgbClr val="C00000"/>
              </a:solidFill>
            </c:spPr>
            <c:extLst>
              <c:ext xmlns:c16="http://schemas.microsoft.com/office/drawing/2014/chart" uri="{C3380CC4-5D6E-409C-BE32-E72D297353CC}">
                <c16:uniqueId val="{0000000B-C0D0-4463-8C55-D24C0B252A32}"/>
              </c:ext>
            </c:extLst>
          </c:dPt>
          <c:dPt>
            <c:idx val="7"/>
            <c:invertIfNegative val="0"/>
            <c:bubble3D val="0"/>
            <c:spPr>
              <a:solidFill>
                <a:srgbClr val="C00000"/>
              </a:solidFill>
            </c:spPr>
            <c:extLst>
              <c:ext xmlns:c16="http://schemas.microsoft.com/office/drawing/2014/chart" uri="{C3380CC4-5D6E-409C-BE32-E72D297353CC}">
                <c16:uniqueId val="{0000000D-C0D0-4463-8C55-D24C0B252A32}"/>
              </c:ext>
            </c:extLst>
          </c:dPt>
          <c:dLbls>
            <c:dLbl>
              <c:idx val="0"/>
              <c:numFmt formatCode="#,##0\ \€" sourceLinked="0"/>
              <c:spPr>
                <a:solidFill>
                  <a:schemeClr val="bg1"/>
                </a:solidFill>
              </c:spPr>
              <c:txPr>
                <a:bodyPr/>
                <a:lstStyle/>
                <a:p>
                  <a:pPr>
                    <a:defRPr sz="800">
                      <a:solidFill>
                        <a:schemeClr val="bg1">
                          <a:lumMod val="50000"/>
                        </a:schemeClr>
                      </a:solidFill>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C0D0-4463-8C55-D24C0B252A32}"/>
                </c:ext>
              </c:extLst>
            </c:dLbl>
            <c:dLbl>
              <c:idx val="1"/>
              <c:numFmt formatCode="#,##0\ \€" sourceLinked="0"/>
              <c:spPr>
                <a:solidFill>
                  <a:schemeClr val="bg1"/>
                </a:solidFill>
              </c:spPr>
              <c:txPr>
                <a:bodyPr/>
                <a:lstStyle/>
                <a:p>
                  <a:pPr>
                    <a:defRPr sz="800">
                      <a:solidFill>
                        <a:schemeClr val="bg1">
                          <a:lumMod val="50000"/>
                        </a:schemeClr>
                      </a:solidFill>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3-C0D0-4463-8C55-D24C0B252A32}"/>
                </c:ext>
              </c:extLst>
            </c:dLbl>
            <c:dLbl>
              <c:idx val="2"/>
              <c:numFmt formatCode="#,##0\ \€" sourceLinked="0"/>
              <c:spPr>
                <a:solidFill>
                  <a:schemeClr val="bg1"/>
                </a:solidFill>
              </c:spPr>
              <c:txPr>
                <a:bodyPr/>
                <a:lstStyle/>
                <a:p>
                  <a:pPr>
                    <a:defRPr sz="800">
                      <a:solidFill>
                        <a:schemeClr val="bg1">
                          <a:lumMod val="50000"/>
                        </a:schemeClr>
                      </a:solidFill>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5-C0D0-4463-8C55-D24C0B252A32}"/>
                </c:ext>
              </c:extLst>
            </c:dLbl>
            <c:dLbl>
              <c:idx val="4"/>
              <c:numFmt formatCode="#,##0\ \€" sourceLinked="0"/>
              <c:spPr>
                <a:solidFill>
                  <a:schemeClr val="bg1"/>
                </a:solidFill>
              </c:spPr>
              <c:txPr>
                <a:bodyPr/>
                <a:lstStyle/>
                <a:p>
                  <a:pPr>
                    <a:defRPr sz="800">
                      <a:solidFill>
                        <a:srgbClr val="C00000"/>
                      </a:solidFill>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7-C0D0-4463-8C55-D24C0B252A32}"/>
                </c:ext>
              </c:extLst>
            </c:dLbl>
            <c:dLbl>
              <c:idx val="5"/>
              <c:numFmt formatCode="#,##0\ \€" sourceLinked="0"/>
              <c:spPr>
                <a:solidFill>
                  <a:schemeClr val="bg1"/>
                </a:solidFill>
              </c:spPr>
              <c:txPr>
                <a:bodyPr/>
                <a:lstStyle/>
                <a:p>
                  <a:pPr>
                    <a:defRPr sz="800">
                      <a:solidFill>
                        <a:srgbClr val="C00000"/>
                      </a:solidFill>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9-C0D0-4463-8C55-D24C0B252A32}"/>
                </c:ext>
              </c:extLst>
            </c:dLbl>
            <c:dLbl>
              <c:idx val="6"/>
              <c:numFmt formatCode="#,##0\ \€" sourceLinked="0"/>
              <c:spPr>
                <a:solidFill>
                  <a:schemeClr val="bg1"/>
                </a:solidFill>
              </c:spPr>
              <c:txPr>
                <a:bodyPr/>
                <a:lstStyle/>
                <a:p>
                  <a:pPr>
                    <a:defRPr sz="800">
                      <a:solidFill>
                        <a:srgbClr val="C00000"/>
                      </a:solidFill>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B-C0D0-4463-8C55-D24C0B252A32}"/>
                </c:ext>
              </c:extLst>
            </c:dLbl>
            <c:dLbl>
              <c:idx val="7"/>
              <c:numFmt formatCode="#,##0\ \€" sourceLinked="0"/>
              <c:spPr>
                <a:solidFill>
                  <a:schemeClr val="bg1"/>
                </a:solidFill>
              </c:spPr>
              <c:txPr>
                <a:bodyPr/>
                <a:lstStyle/>
                <a:p>
                  <a:pPr>
                    <a:defRPr sz="800">
                      <a:solidFill>
                        <a:srgbClr val="C00000"/>
                      </a:solidFill>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D-C0D0-4463-8C55-D24C0B252A32}"/>
                </c:ext>
              </c:extLst>
            </c:dLbl>
            <c:numFmt formatCode="#,##0\ \€" sourceLinked="0"/>
            <c:spPr>
              <a:solidFill>
                <a:schemeClr val="bg1"/>
              </a:solidFill>
            </c:spPr>
            <c:txPr>
              <a:bodyPr/>
              <a:lstStyle/>
              <a:p>
                <a:pPr>
                  <a:defRPr sz="8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Grafik!$A$2:$A$9</c:f>
              <c:strCache>
                <c:ptCount val="8"/>
                <c:pt idx="0">
                  <c:v>0,00%</c:v>
                </c:pt>
                <c:pt idx="1">
                  <c:v>2,00%</c:v>
                </c:pt>
                <c:pt idx="2">
                  <c:v>4,00%</c:v>
                </c:pt>
                <c:pt idx="4">
                  <c:v>Abgeltungsteuer</c:v>
                </c:pt>
                <c:pt idx="5">
                  <c:v>Halbeinkünfteverfahren</c:v>
                </c:pt>
                <c:pt idx="6">
                  <c:v>Teilentnahmen (über  20 J.)</c:v>
                </c:pt>
                <c:pt idx="7">
                  <c:v>Steuerfrei Konzept</c:v>
                </c:pt>
              </c:strCache>
            </c:strRef>
          </c:cat>
          <c:val>
            <c:numRef>
              <c:f>Grafik!$B$2:$B$9</c:f>
              <c:numCache>
                <c:formatCode>_-* #,##0\ "€"_-;\-* #,##0\ "€"_-;_-* "-"??\ "€"_-;_-@_-</c:formatCode>
                <c:ptCount val="8"/>
                <c:pt idx="0">
                  <c:v>158048.73404191731</c:v>
                </c:pt>
                <c:pt idx="1">
                  <c:v>149607.8331983973</c:v>
                </c:pt>
                <c:pt idx="2">
                  <c:v>141544.38732876984</c:v>
                </c:pt>
                <c:pt idx="4" formatCode="#,##0\ &quot;€&quot;">
                  <c:v>167011.58050000004</c:v>
                </c:pt>
                <c:pt idx="5" formatCode="#,##0\ &quot;€&quot;">
                  <c:v>174598.17813343453</c:v>
                </c:pt>
                <c:pt idx="6" formatCode="#,##0\ &quot;€&quot;">
                  <c:v>175935.11504631594</c:v>
                </c:pt>
                <c:pt idx="7" formatCode="#,##0\ &quot;€&quot;">
                  <c:v>186376.00000000006</c:v>
                </c:pt>
              </c:numCache>
            </c:numRef>
          </c:val>
          <c:extLst>
            <c:ext xmlns:c16="http://schemas.microsoft.com/office/drawing/2014/chart" uri="{C3380CC4-5D6E-409C-BE32-E72D297353CC}">
              <c16:uniqueId val="{0000000E-C0D0-4463-8C55-D24C0B252A32}"/>
            </c:ext>
          </c:extLst>
        </c:ser>
        <c:dLbls>
          <c:showLegendKey val="0"/>
          <c:showVal val="0"/>
          <c:showCatName val="0"/>
          <c:showSerName val="0"/>
          <c:showPercent val="0"/>
          <c:showBubbleSize val="0"/>
        </c:dLbls>
        <c:gapWidth val="150"/>
        <c:axId val="139907072"/>
        <c:axId val="139908608"/>
      </c:barChart>
      <c:lineChart>
        <c:grouping val="stacked"/>
        <c:varyColors val="0"/>
        <c:ser>
          <c:idx val="1"/>
          <c:order val="1"/>
          <c:spPr>
            <a:ln>
              <a:solidFill>
                <a:schemeClr val="tx1"/>
              </a:solidFill>
            </a:ln>
          </c:spPr>
          <c:marker>
            <c:symbol val="none"/>
          </c:marker>
          <c:cat>
            <c:strRef>
              <c:f>Grafik!$A$2:$A$9</c:f>
              <c:strCache>
                <c:ptCount val="8"/>
                <c:pt idx="0">
                  <c:v>0,00%</c:v>
                </c:pt>
                <c:pt idx="1">
                  <c:v>2,00%</c:v>
                </c:pt>
                <c:pt idx="2">
                  <c:v>4,00%</c:v>
                </c:pt>
                <c:pt idx="4">
                  <c:v>Abgeltungsteuer</c:v>
                </c:pt>
                <c:pt idx="5">
                  <c:v>Halbeinkünfteverfahren</c:v>
                </c:pt>
                <c:pt idx="6">
                  <c:v>Teilentnahmen (über  20 J.)</c:v>
                </c:pt>
                <c:pt idx="7">
                  <c:v>Steuerfrei Konzept</c:v>
                </c:pt>
              </c:strCache>
            </c:strRef>
          </c:cat>
          <c:val>
            <c:numRef>
              <c:f>Grafik!$C$2:$C$9</c:f>
              <c:numCache>
                <c:formatCode>#,##0\ "€"</c:formatCode>
                <c:ptCount val="8"/>
                <c:pt idx="0">
                  <c:v>174598.17813343453</c:v>
                </c:pt>
                <c:pt idx="1">
                  <c:v>174598.17813343453</c:v>
                </c:pt>
                <c:pt idx="2">
                  <c:v>174598.17813343453</c:v>
                </c:pt>
                <c:pt idx="3">
                  <c:v>174598.17813343453</c:v>
                </c:pt>
                <c:pt idx="4">
                  <c:v>174598.17813343453</c:v>
                </c:pt>
                <c:pt idx="5">
                  <c:v>174598.17813343453</c:v>
                </c:pt>
                <c:pt idx="6">
                  <c:v>174598.17813343453</c:v>
                </c:pt>
                <c:pt idx="7">
                  <c:v>174598.17813343453</c:v>
                </c:pt>
              </c:numCache>
            </c:numRef>
          </c:val>
          <c:smooth val="0"/>
          <c:extLst>
            <c:ext xmlns:c16="http://schemas.microsoft.com/office/drawing/2014/chart" uri="{C3380CC4-5D6E-409C-BE32-E72D297353CC}">
              <c16:uniqueId val="{0000000F-C0D0-4463-8C55-D24C0B252A32}"/>
            </c:ext>
          </c:extLst>
        </c:ser>
        <c:dLbls>
          <c:showLegendKey val="0"/>
          <c:showVal val="0"/>
          <c:showCatName val="0"/>
          <c:showSerName val="0"/>
          <c:showPercent val="0"/>
          <c:showBubbleSize val="0"/>
        </c:dLbls>
        <c:marker val="1"/>
        <c:smooth val="0"/>
        <c:axId val="139916032"/>
        <c:axId val="139910144"/>
      </c:lineChart>
      <c:catAx>
        <c:axId val="139907072"/>
        <c:scaling>
          <c:orientation val="minMax"/>
        </c:scaling>
        <c:delete val="0"/>
        <c:axPos val="b"/>
        <c:numFmt formatCode="General" sourceLinked="0"/>
        <c:majorTickMark val="out"/>
        <c:minorTickMark val="none"/>
        <c:tickLblPos val="nextTo"/>
        <c:txPr>
          <a:bodyPr rot="-1200000" vert="horz"/>
          <a:lstStyle/>
          <a:p>
            <a:pPr>
              <a:defRPr/>
            </a:pPr>
            <a:endParaRPr lang="de-DE"/>
          </a:p>
        </c:txPr>
        <c:crossAx val="139908608"/>
        <c:crosses val="autoZero"/>
        <c:auto val="1"/>
        <c:lblAlgn val="ctr"/>
        <c:lblOffset val="100"/>
        <c:noMultiLvlLbl val="0"/>
      </c:catAx>
      <c:valAx>
        <c:axId val="139908608"/>
        <c:scaling>
          <c:orientation val="minMax"/>
          <c:min val="127400"/>
        </c:scaling>
        <c:delete val="0"/>
        <c:axPos val="l"/>
        <c:numFmt formatCode="#,##0\ \€" sourceLinked="0"/>
        <c:majorTickMark val="out"/>
        <c:minorTickMark val="none"/>
        <c:tickLblPos val="nextTo"/>
        <c:spPr>
          <a:ln>
            <a:noFill/>
          </a:ln>
        </c:spPr>
        <c:txPr>
          <a:bodyPr/>
          <a:lstStyle/>
          <a:p>
            <a:pPr>
              <a:defRPr>
                <a:solidFill>
                  <a:schemeClr val="bg1"/>
                </a:solidFill>
              </a:defRPr>
            </a:pPr>
            <a:endParaRPr lang="de-DE"/>
          </a:p>
        </c:txPr>
        <c:crossAx val="139907072"/>
        <c:crosses val="autoZero"/>
        <c:crossBetween val="between"/>
      </c:valAx>
      <c:valAx>
        <c:axId val="139910144"/>
        <c:scaling>
          <c:orientation val="minMax"/>
          <c:min val="127400"/>
        </c:scaling>
        <c:delete val="1"/>
        <c:axPos val="r"/>
        <c:numFmt formatCode="#,##0\ &quot;€&quot;" sourceLinked="1"/>
        <c:majorTickMark val="out"/>
        <c:minorTickMark val="none"/>
        <c:tickLblPos val="nextTo"/>
        <c:crossAx val="139916032"/>
        <c:crosses val="max"/>
        <c:crossBetween val="between"/>
      </c:valAx>
      <c:catAx>
        <c:axId val="139916032"/>
        <c:scaling>
          <c:orientation val="minMax"/>
        </c:scaling>
        <c:delete val="1"/>
        <c:axPos val="b"/>
        <c:numFmt formatCode="General" sourceLinked="1"/>
        <c:majorTickMark val="out"/>
        <c:minorTickMark val="none"/>
        <c:tickLblPos val="nextTo"/>
        <c:crossAx val="139910144"/>
        <c:crosses val="autoZero"/>
        <c:auto val="1"/>
        <c:lblAlgn val="ctr"/>
        <c:lblOffset val="100"/>
        <c:noMultiLvlLbl val="0"/>
      </c:catAx>
      <c:spPr>
        <a:noFill/>
      </c:spPr>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C00000"/>
            </a:solidFill>
            <a:ln>
              <a:noFill/>
            </a:ln>
            <a:effectLst/>
          </c:spPr>
          <c:invertIfNegative val="0"/>
          <c:val>
            <c:numRef>
              <c:f>Steuerübersicht!$B$3:$B$62</c:f>
              <c:numCache>
                <c:formatCode>#,##0.00\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41A4-4A4B-8FB6-7980C13786BE}"/>
            </c:ext>
          </c:extLst>
        </c:ser>
        <c:dLbls>
          <c:showLegendKey val="0"/>
          <c:showVal val="0"/>
          <c:showCatName val="0"/>
          <c:showSerName val="0"/>
          <c:showPercent val="0"/>
          <c:showBubbleSize val="0"/>
        </c:dLbls>
        <c:gapWidth val="219"/>
        <c:overlap val="-27"/>
        <c:axId val="2969936"/>
        <c:axId val="2967640"/>
      </c:barChart>
      <c:catAx>
        <c:axId val="29699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967640"/>
        <c:crosses val="autoZero"/>
        <c:auto val="1"/>
        <c:lblAlgn val="ctr"/>
        <c:lblOffset val="100"/>
        <c:noMultiLvlLbl val="0"/>
      </c:catAx>
      <c:valAx>
        <c:axId val="296764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969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Vorabpauschale inklusive</a:t>
            </a:r>
            <a:r>
              <a:rPr lang="de-DE" baseline="0"/>
              <a:t> Wechselbesteuerung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6114764005014841E-2"/>
          <c:y val="0.15649789029535865"/>
          <c:w val="0.87638029782359683"/>
          <c:h val="0.6823279843184159"/>
        </c:manualLayout>
      </c:layout>
      <c:barChart>
        <c:barDir val="col"/>
        <c:grouping val="clustered"/>
        <c:varyColors val="0"/>
        <c:ser>
          <c:idx val="0"/>
          <c:order val="0"/>
          <c:spPr>
            <a:solidFill>
              <a:srgbClr val="C00000"/>
            </a:solidFill>
            <a:ln>
              <a:noFill/>
            </a:ln>
            <a:effectLst/>
          </c:spPr>
          <c:invertIfNegative val="0"/>
          <c:val>
            <c:numRef>
              <c:f>Steuerübersicht!$C$3:$C$62</c:f>
              <c:numCache>
                <c:formatCode>#,##0.00\ "€"</c:formatCode>
                <c:ptCount val="60"/>
                <c:pt idx="0">
                  <c:v>0</c:v>
                </c:pt>
                <c:pt idx="1">
                  <c:v>0</c:v>
                </c:pt>
                <c:pt idx="2">
                  <c:v>3258.863553770113</c:v>
                </c:pt>
                <c:pt idx="3">
                  <c:v>0</c:v>
                </c:pt>
                <c:pt idx="4">
                  <c:v>0</c:v>
                </c:pt>
                <c:pt idx="5">
                  <c:v>4202.0286436261231</c:v>
                </c:pt>
                <c:pt idx="6">
                  <c:v>0</c:v>
                </c:pt>
                <c:pt idx="7">
                  <c:v>0</c:v>
                </c:pt>
                <c:pt idx="8">
                  <c:v>5311.641224619455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0A4-4D46-8BF4-E4D661130890}"/>
            </c:ext>
          </c:extLst>
        </c:ser>
        <c:dLbls>
          <c:showLegendKey val="0"/>
          <c:showVal val="0"/>
          <c:showCatName val="0"/>
          <c:showSerName val="0"/>
          <c:showPercent val="0"/>
          <c:showBubbleSize val="0"/>
        </c:dLbls>
        <c:gapWidth val="219"/>
        <c:overlap val="-27"/>
        <c:axId val="616862120"/>
        <c:axId val="616855888"/>
      </c:barChart>
      <c:catAx>
        <c:axId val="616862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855888"/>
        <c:crosses val="autoZero"/>
        <c:auto val="1"/>
        <c:lblAlgn val="ctr"/>
        <c:lblOffset val="100"/>
        <c:noMultiLvlLbl val="0"/>
      </c:catAx>
      <c:valAx>
        <c:axId val="616855888"/>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862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68870170298462E-2"/>
          <c:y val="5.0925925925925923E-2"/>
          <c:w val="0.87491070654111935"/>
          <c:h val="0.85151210265383492"/>
        </c:manualLayout>
      </c:layout>
      <c:barChart>
        <c:barDir val="col"/>
        <c:grouping val="clustered"/>
        <c:varyColors val="0"/>
        <c:ser>
          <c:idx val="0"/>
          <c:order val="0"/>
          <c:tx>
            <c:strRef>
              <c:f>Steuerübersicht!$B$2</c:f>
              <c:strCache>
                <c:ptCount val="1"/>
                <c:pt idx="0">
                  <c:v>Heute</c:v>
                </c:pt>
              </c:strCache>
            </c:strRef>
          </c:tx>
          <c:spPr>
            <a:solidFill>
              <a:srgbClr val="FF0000"/>
            </a:solidFill>
            <a:ln>
              <a:noFill/>
            </a:ln>
            <a:effectLst/>
          </c:spPr>
          <c:invertIfNegative val="0"/>
          <c:cat>
            <c:numRef>
              <c:f>Steuerübersicht!$A$3:$A$62</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Steuerübersicht!$B$3:$B$62</c:f>
              <c:numCache>
                <c:formatCode>#,##0.00\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5E53-4315-A435-7EBDBC7BCB46}"/>
            </c:ext>
          </c:extLst>
        </c:ser>
        <c:ser>
          <c:idx val="1"/>
          <c:order val="1"/>
          <c:tx>
            <c:strRef>
              <c:f>Steuerübersicht!$D$2</c:f>
              <c:strCache>
                <c:ptCount val="1"/>
                <c:pt idx="0">
                  <c:v>2%</c:v>
                </c:pt>
              </c:strCache>
            </c:strRef>
          </c:tx>
          <c:spPr>
            <a:solidFill>
              <a:schemeClr val="tx1"/>
            </a:solidFill>
            <a:ln>
              <a:noFill/>
            </a:ln>
            <a:effectLst/>
          </c:spPr>
          <c:invertIfNegative val="0"/>
          <c:cat>
            <c:numRef>
              <c:f>Steuerübersicht!$A$3:$A$62</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Steuerübersicht!$D$3:$D$62</c:f>
              <c:numCache>
                <c:formatCode>#,##0.00\ "€"</c:formatCode>
                <c:ptCount val="60"/>
                <c:pt idx="0">
                  <c:v>255.91584158415836</c:v>
                </c:pt>
                <c:pt idx="1">
                  <c:v>269.15215439727717</c:v>
                </c:pt>
                <c:pt idx="2">
                  <c:v>323.51803538483409</c:v>
                </c:pt>
                <c:pt idx="3">
                  <c:v>325.02030799806766</c:v>
                </c:pt>
                <c:pt idx="4">
                  <c:v>341.72360285573575</c:v>
                </c:pt>
                <c:pt idx="5">
                  <c:v>404.20262971024721</c:v>
                </c:pt>
                <c:pt idx="6">
                  <c:v>403.92535044070314</c:v>
                </c:pt>
                <c:pt idx="7">
                  <c:v>424.54811543895761</c:v>
                </c:pt>
                <c:pt idx="8">
                  <c:v>495.81156786537343</c:v>
                </c:pt>
                <c:pt idx="9">
                  <c:v>492.84199043516065</c:v>
                </c:pt>
                <c:pt idx="10">
                  <c:v>517.83662076228211</c:v>
                </c:pt>
                <c:pt idx="11">
                  <c:v>544.10616469581419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5E53-4315-A435-7EBDBC7BCB46}"/>
            </c:ext>
          </c:extLst>
        </c:ser>
        <c:ser>
          <c:idx val="2"/>
          <c:order val="2"/>
          <c:tx>
            <c:strRef>
              <c:f>Steuerübersicht!$F$2</c:f>
              <c:strCache>
                <c:ptCount val="1"/>
                <c:pt idx="0">
                  <c:v>4%</c:v>
                </c:pt>
              </c:strCache>
            </c:strRef>
          </c:tx>
          <c:spPr>
            <a:solidFill>
              <a:schemeClr val="accent5">
                <a:lumMod val="60000"/>
                <a:lumOff val="40000"/>
              </a:schemeClr>
            </a:solidFill>
            <a:ln>
              <a:noFill/>
            </a:ln>
            <a:effectLst/>
          </c:spPr>
          <c:invertIfNegative val="0"/>
          <c:cat>
            <c:numRef>
              <c:f>Steuerübersicht!$A$3:$A$62</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Steuerübersicht!$F$3:$F$62</c:f>
              <c:numCache>
                <c:formatCode>#,##0.00\ "€"</c:formatCode>
                <c:ptCount val="60"/>
                <c:pt idx="0">
                  <c:v>511.83168316831672</c:v>
                </c:pt>
                <c:pt idx="1">
                  <c:v>536.98135185148499</c:v>
                </c:pt>
                <c:pt idx="2">
                  <c:v>643.85908137070282</c:v>
                </c:pt>
                <c:pt idx="3">
                  <c:v>640.52840754974045</c:v>
                </c:pt>
                <c:pt idx="4">
                  <c:v>671.55065761090736</c:v>
                </c:pt>
                <c:pt idx="5">
                  <c:v>792.097363459191</c:v>
                </c:pt>
                <c:pt idx="6">
                  <c:v>782.84814585280742</c:v>
                </c:pt>
                <c:pt idx="7">
                  <c:v>820.20752572954518</c:v>
                </c:pt>
                <c:pt idx="8">
                  <c:v>954.8468384079888</c:v>
                </c:pt>
                <c:pt idx="9">
                  <c:v>937.5431554477392</c:v>
                </c:pt>
                <c:pt idx="10">
                  <c:v>981.61499484774879</c:v>
                </c:pt>
                <c:pt idx="11">
                  <c:v>1027.7720933289702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5E53-4315-A435-7EBDBC7BCB46}"/>
            </c:ext>
          </c:extLst>
        </c:ser>
        <c:dLbls>
          <c:showLegendKey val="0"/>
          <c:showVal val="0"/>
          <c:showCatName val="0"/>
          <c:showSerName val="0"/>
          <c:showPercent val="0"/>
          <c:showBubbleSize val="0"/>
        </c:dLbls>
        <c:gapWidth val="219"/>
        <c:overlap val="-27"/>
        <c:axId val="616397960"/>
        <c:axId val="616395992"/>
      </c:barChart>
      <c:catAx>
        <c:axId val="616397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395992"/>
        <c:crosses val="autoZero"/>
        <c:auto val="1"/>
        <c:lblAlgn val="ctr"/>
        <c:lblOffset val="100"/>
        <c:noMultiLvlLbl val="0"/>
      </c:catAx>
      <c:valAx>
        <c:axId val="616395992"/>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397960"/>
        <c:crosses val="autoZero"/>
        <c:crossBetween val="between"/>
      </c:valAx>
      <c:spPr>
        <a:noFill/>
        <a:ln>
          <a:noFill/>
        </a:ln>
        <a:effectLst/>
      </c:spPr>
    </c:plotArea>
    <c:legend>
      <c:legendPos val="b"/>
      <c:layout>
        <c:manualLayout>
          <c:xMode val="edge"/>
          <c:yMode val="edge"/>
          <c:x val="0.15126456500159019"/>
          <c:y val="0.1209485272674249"/>
          <c:w val="0.1104212598425197"/>
          <c:h val="0.2447922134733158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Grafik!$A$2:$A$9</c:f>
              <c:strCache>
                <c:ptCount val="8"/>
                <c:pt idx="0">
                  <c:v>0,00%</c:v>
                </c:pt>
                <c:pt idx="1">
                  <c:v>2,00%</c:v>
                </c:pt>
                <c:pt idx="2">
                  <c:v>4,00%</c:v>
                </c:pt>
                <c:pt idx="4">
                  <c:v>Abgeltungsteuer</c:v>
                </c:pt>
                <c:pt idx="5">
                  <c:v>Halbeinkünfteverfahren</c:v>
                </c:pt>
                <c:pt idx="6">
                  <c:v>Teilentnahmen (über  20 J.)</c:v>
                </c:pt>
                <c:pt idx="7">
                  <c:v>Steuerfrei Konzept</c:v>
                </c:pt>
              </c:strCache>
            </c:strRef>
          </c:cat>
          <c:val>
            <c:numRef>
              <c:f>Grafik!$B$2:$B$9</c:f>
              <c:numCache>
                <c:formatCode>_-* #,##0\ "€"_-;\-* #,##0\ "€"_-;_-* "-"??\ "€"_-;_-@_-</c:formatCode>
                <c:ptCount val="8"/>
                <c:pt idx="0">
                  <c:v>158048.73404191731</c:v>
                </c:pt>
                <c:pt idx="1">
                  <c:v>149607.8331983973</c:v>
                </c:pt>
                <c:pt idx="2">
                  <c:v>141544.38732876984</c:v>
                </c:pt>
                <c:pt idx="4" formatCode="#,##0\ &quot;€&quot;">
                  <c:v>167011.58050000004</c:v>
                </c:pt>
                <c:pt idx="5" formatCode="#,##0\ &quot;€&quot;">
                  <c:v>174598.17813343453</c:v>
                </c:pt>
                <c:pt idx="6" formatCode="#,##0\ &quot;€&quot;">
                  <c:v>175935.11504631594</c:v>
                </c:pt>
                <c:pt idx="7" formatCode="#,##0\ &quot;€&quot;">
                  <c:v>186376.00000000006</c:v>
                </c:pt>
              </c:numCache>
            </c:numRef>
          </c:val>
          <c:extLst>
            <c:ext xmlns:c16="http://schemas.microsoft.com/office/drawing/2014/chart" uri="{C3380CC4-5D6E-409C-BE32-E72D297353CC}">
              <c16:uniqueId val="{00000000-58D3-4C33-BF51-12B96FB2C0D4}"/>
            </c:ext>
          </c:extLst>
        </c:ser>
        <c:dLbls>
          <c:showLegendKey val="0"/>
          <c:showVal val="0"/>
          <c:showCatName val="0"/>
          <c:showSerName val="0"/>
          <c:showPercent val="0"/>
          <c:showBubbleSize val="0"/>
        </c:dLbls>
        <c:gapWidth val="150"/>
        <c:axId val="140027008"/>
        <c:axId val="140028544"/>
      </c:barChart>
      <c:lineChart>
        <c:grouping val="stacked"/>
        <c:varyColors val="0"/>
        <c:ser>
          <c:idx val="1"/>
          <c:order val="1"/>
          <c:marker>
            <c:symbol val="none"/>
          </c:marker>
          <c:cat>
            <c:strRef>
              <c:f>Grafik!$A$2:$A$9</c:f>
              <c:strCache>
                <c:ptCount val="8"/>
                <c:pt idx="0">
                  <c:v>0,00%</c:v>
                </c:pt>
                <c:pt idx="1">
                  <c:v>2,00%</c:v>
                </c:pt>
                <c:pt idx="2">
                  <c:v>4,00%</c:v>
                </c:pt>
                <c:pt idx="4">
                  <c:v>Abgeltungsteuer</c:v>
                </c:pt>
                <c:pt idx="5">
                  <c:v>Halbeinkünfteverfahren</c:v>
                </c:pt>
                <c:pt idx="6">
                  <c:v>Teilentnahmen (über  20 J.)</c:v>
                </c:pt>
                <c:pt idx="7">
                  <c:v>Steuerfrei Konzept</c:v>
                </c:pt>
              </c:strCache>
            </c:strRef>
          </c:cat>
          <c:val>
            <c:numRef>
              <c:f>Grafik!$C$2:$C$9</c:f>
              <c:numCache>
                <c:formatCode>#,##0\ "€"</c:formatCode>
                <c:ptCount val="8"/>
                <c:pt idx="0">
                  <c:v>174598.17813343453</c:v>
                </c:pt>
                <c:pt idx="1">
                  <c:v>174598.17813343453</c:v>
                </c:pt>
                <c:pt idx="2">
                  <c:v>174598.17813343453</c:v>
                </c:pt>
                <c:pt idx="3">
                  <c:v>174598.17813343453</c:v>
                </c:pt>
                <c:pt idx="4">
                  <c:v>174598.17813343453</c:v>
                </c:pt>
                <c:pt idx="5">
                  <c:v>174598.17813343453</c:v>
                </c:pt>
                <c:pt idx="6">
                  <c:v>174598.17813343453</c:v>
                </c:pt>
                <c:pt idx="7">
                  <c:v>174598.17813343453</c:v>
                </c:pt>
              </c:numCache>
            </c:numRef>
          </c:val>
          <c:smooth val="0"/>
          <c:extLst>
            <c:ext xmlns:c16="http://schemas.microsoft.com/office/drawing/2014/chart" uri="{C3380CC4-5D6E-409C-BE32-E72D297353CC}">
              <c16:uniqueId val="{00000001-58D3-4C33-BF51-12B96FB2C0D4}"/>
            </c:ext>
          </c:extLst>
        </c:ser>
        <c:dLbls>
          <c:showLegendKey val="0"/>
          <c:showVal val="0"/>
          <c:showCatName val="0"/>
          <c:showSerName val="0"/>
          <c:showPercent val="0"/>
          <c:showBubbleSize val="0"/>
        </c:dLbls>
        <c:marker val="1"/>
        <c:smooth val="0"/>
        <c:axId val="140035968"/>
        <c:axId val="140034432"/>
      </c:lineChart>
      <c:catAx>
        <c:axId val="140027008"/>
        <c:scaling>
          <c:orientation val="minMax"/>
        </c:scaling>
        <c:delete val="0"/>
        <c:axPos val="b"/>
        <c:numFmt formatCode="General" sourceLinked="0"/>
        <c:majorTickMark val="out"/>
        <c:minorTickMark val="none"/>
        <c:tickLblPos val="nextTo"/>
        <c:crossAx val="140028544"/>
        <c:crosses val="autoZero"/>
        <c:auto val="1"/>
        <c:lblAlgn val="ctr"/>
        <c:lblOffset val="100"/>
        <c:noMultiLvlLbl val="0"/>
      </c:catAx>
      <c:valAx>
        <c:axId val="140028544"/>
        <c:scaling>
          <c:orientation val="minMax"/>
        </c:scaling>
        <c:delete val="0"/>
        <c:axPos val="l"/>
        <c:numFmt formatCode="_-* #,##0\ &quot;€&quot;_-;\-* #,##0\ &quot;€&quot;_-;_-* &quot;-&quot;??\ &quot;€&quot;_-;_-@_-" sourceLinked="1"/>
        <c:majorTickMark val="out"/>
        <c:minorTickMark val="none"/>
        <c:tickLblPos val="nextTo"/>
        <c:crossAx val="140027008"/>
        <c:crosses val="autoZero"/>
        <c:crossBetween val="between"/>
      </c:valAx>
      <c:valAx>
        <c:axId val="140034432"/>
        <c:scaling>
          <c:orientation val="minMax"/>
        </c:scaling>
        <c:delete val="1"/>
        <c:axPos val="r"/>
        <c:numFmt formatCode="#,##0\ &quot;€&quot;" sourceLinked="1"/>
        <c:majorTickMark val="out"/>
        <c:minorTickMark val="none"/>
        <c:tickLblPos val="nextTo"/>
        <c:crossAx val="140035968"/>
        <c:crosses val="max"/>
        <c:crossBetween val="between"/>
      </c:valAx>
      <c:catAx>
        <c:axId val="140035968"/>
        <c:scaling>
          <c:orientation val="minMax"/>
        </c:scaling>
        <c:delete val="1"/>
        <c:axPos val="b"/>
        <c:numFmt formatCode="General" sourceLinked="1"/>
        <c:majorTickMark val="out"/>
        <c:minorTickMark val="none"/>
        <c:tickLblPos val="nextTo"/>
        <c:crossAx val="140034432"/>
        <c:crosses val="autoZero"/>
        <c:auto val="1"/>
        <c:lblAlgn val="ctr"/>
        <c:lblOffset val="100"/>
        <c:noMultiLvlLbl val="0"/>
      </c:catAx>
      <c:spPr>
        <a:noFill/>
      </c:spPr>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Hilfe!$B$3" fmlaRange="Hilfe!$A$4:$A$6" sel="3" val="0"/>
</file>

<file path=xl/ctrlProps/ctrlProp2.xml><?xml version="1.0" encoding="utf-8"?>
<formControlPr xmlns="http://schemas.microsoft.com/office/spreadsheetml/2009/9/main" objectType="Drop" dropLines="2" dropStyle="combo" dx="16" fmlaLink="Hilfe!$B$9" fmlaRange="Hilfe!$A$9:$A$10" sel="2" val="0"/>
</file>

<file path=xl/ctrlProps/ctrlProp3.xml><?xml version="1.0" encoding="utf-8"?>
<formControlPr xmlns="http://schemas.microsoft.com/office/spreadsheetml/2009/9/main" objectType="Drop" dropStyle="combo" dx="16" fmlaLink="Hilfe!$E$2" fmlaRange="Hilfe!$D$2:$D$8" sel="4" val="0"/>
</file>

<file path=xl/ctrlProps/ctrlProp4.xml><?xml version="1.0" encoding="utf-8"?>
<formControlPr xmlns="http://schemas.microsoft.com/office/spreadsheetml/2009/9/main" objectType="Drop" dropLines="2" dropStyle="combo" dx="16" fmlaLink="Hilfe!$B$13" fmlaRange="Hilfe!$A$13:$A$14" sel="1" val="0"/>
</file>

<file path=xl/ctrlProps/ctrlProp5.xml><?xml version="1.0" encoding="utf-8"?>
<formControlPr xmlns="http://schemas.microsoft.com/office/spreadsheetml/2009/9/main" objectType="Drop" dropLines="22" dropStyle="combo" dx="16" fmlaLink="Hilfe!$B$18" fmlaRange="Hilfe!$A$19:$A$39" sel="4" val="0"/>
</file>

<file path=xl/ctrlProps/ctrlProp6.xml><?xml version="1.0" encoding="utf-8"?>
<formControlPr xmlns="http://schemas.microsoft.com/office/spreadsheetml/2009/9/main" objectType="Drop" dropLines="20" dropStyle="combo" dx="16" fmlaLink="Hilfe!$B$53" fmlaRange="Hilfe!$A$54:$A$102" sel="1" val="0"/>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Drop" dropLines="6" dropStyle="combo" dx="16" fmlaLink="Hilfe!$F$2" fmlaRange="Hilfe!$G$1:$G$6"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3</xdr:col>
          <xdr:colOff>447675</xdr:colOff>
          <xdr:row>11</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9525</xdr:rowOff>
        </xdr:from>
        <xdr:to>
          <xdr:col>7</xdr:col>
          <xdr:colOff>447675</xdr:colOff>
          <xdr:row>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38100</xdr:rowOff>
        </xdr:from>
        <xdr:to>
          <xdr:col>7</xdr:col>
          <xdr:colOff>447675</xdr:colOff>
          <xdr:row>8</xdr:row>
          <xdr:rowOff>209550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19050</xdr:rowOff>
        </xdr:from>
        <xdr:to>
          <xdr:col>7</xdr:col>
          <xdr:colOff>447675</xdr:colOff>
          <xdr:row>9</xdr:row>
          <xdr:rowOff>190500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28575</xdr:rowOff>
        </xdr:from>
        <xdr:to>
          <xdr:col>3</xdr:col>
          <xdr:colOff>457200</xdr:colOff>
          <xdr:row>12</xdr:row>
          <xdr:rowOff>19050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28575</xdr:rowOff>
        </xdr:from>
        <xdr:to>
          <xdr:col>3</xdr:col>
          <xdr:colOff>447675</xdr:colOff>
          <xdr:row>8</xdr:row>
          <xdr:rowOff>200025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276227</xdr:colOff>
      <xdr:row>48</xdr:row>
      <xdr:rowOff>19050</xdr:rowOff>
    </xdr:from>
    <xdr:to>
      <xdr:col>6</xdr:col>
      <xdr:colOff>627064</xdr:colOff>
      <xdr:row>65</xdr:row>
      <xdr:rowOff>9526</xdr:rowOff>
    </xdr:to>
    <xdr:graphicFrame macro="">
      <xdr:nvGraphicFramePr>
        <xdr:cNvPr id="9" name="Diagramm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584200</xdr:colOff>
      <xdr:row>62</xdr:row>
      <xdr:rowOff>128588</xdr:rowOff>
    </xdr:from>
    <xdr:ext cx="1093954" cy="374077"/>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346200" y="12842392"/>
          <a:ext cx="1093954"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900" b="0">
              <a:solidFill>
                <a:schemeClr val="tx1"/>
              </a:solidFill>
              <a:effectLst/>
              <a:latin typeface="+mn-lt"/>
              <a:ea typeface="+mn-ea"/>
              <a:cs typeface="+mn-cs"/>
            </a:rPr>
            <a:t>Vorabpauschale</a:t>
          </a:r>
          <a:br>
            <a:rPr lang="de-DE" sz="900" b="0">
              <a:solidFill>
                <a:schemeClr val="tx1"/>
              </a:solidFill>
              <a:effectLst/>
              <a:latin typeface="+mn-lt"/>
              <a:ea typeface="+mn-ea"/>
              <a:cs typeface="+mn-cs"/>
            </a:rPr>
          </a:br>
          <a:r>
            <a:rPr lang="de-DE" sz="900" b="0">
              <a:solidFill>
                <a:schemeClr val="tx1"/>
              </a:solidFill>
              <a:effectLst/>
              <a:latin typeface="+mn-lt"/>
              <a:ea typeface="+mn-ea"/>
              <a:cs typeface="+mn-cs"/>
            </a:rPr>
            <a:t>mit Basiszins von ...</a:t>
          </a:r>
          <a:endParaRPr lang="de-DE" sz="900">
            <a:effectLst/>
          </a:endParaRPr>
        </a:p>
      </xdr:txBody>
    </xdr:sp>
    <xdr:clientData/>
  </xdr:oneCellAnchor>
  <xdr:oneCellAnchor>
    <xdr:from>
      <xdr:col>1</xdr:col>
      <xdr:colOff>457200</xdr:colOff>
      <xdr:row>48</xdr:row>
      <xdr:rowOff>103191</xdr:rowOff>
    </xdr:from>
    <xdr:ext cx="132517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274763" y="9953629"/>
          <a:ext cx="13251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solidFill>
                <a:schemeClr val="bg1">
                  <a:lumMod val="50000"/>
                </a:schemeClr>
              </a:solidFill>
            </a:rPr>
            <a:t>Fonds-Direktanlage</a:t>
          </a:r>
        </a:p>
      </xdr:txBody>
    </xdr:sp>
    <xdr:clientData/>
  </xdr:oneCellAnchor>
  <xdr:oneCellAnchor>
    <xdr:from>
      <xdr:col>4</xdr:col>
      <xdr:colOff>604614</xdr:colOff>
      <xdr:row>48</xdr:row>
      <xdr:rowOff>112716</xdr:rowOff>
    </xdr:from>
    <xdr:ext cx="1083758" cy="264560"/>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3876244" y="10275477"/>
          <a:ext cx="10837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solidFill>
                <a:srgbClr val="C00000"/>
              </a:solidFill>
            </a:rPr>
            <a:t>CleVesto Select</a:t>
          </a:r>
        </a:p>
      </xdr:txBody>
    </xdr:sp>
    <xdr:clientData/>
  </xdr:oneCellAnchor>
  <mc:AlternateContent xmlns:mc="http://schemas.openxmlformats.org/markup-compatibility/2006">
    <mc:Choice xmlns:a14="http://schemas.microsoft.com/office/drawing/2010/main" Requires="a14">
      <xdr:twoCellAnchor>
        <xdr:from>
          <xdr:col>5</xdr:col>
          <xdr:colOff>419100</xdr:colOff>
          <xdr:row>0</xdr:row>
          <xdr:rowOff>95250</xdr:rowOff>
        </xdr:from>
        <xdr:to>
          <xdr:col>7</xdr:col>
          <xdr:colOff>352425</xdr:colOff>
          <xdr:row>2</xdr:row>
          <xdr:rowOff>171450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cs typeface="Calibri"/>
                </a:rPr>
                <a:t>Berechnen</a:t>
              </a:r>
            </a:p>
          </xdr:txBody>
        </xdr:sp>
        <xdr:clientData fPrintsWithSheet="0"/>
      </xdr:twoCellAnchor>
    </mc:Choice>
    <mc:Fallback/>
  </mc:AlternateContent>
  <xdr:twoCellAnchor editAs="oneCell">
    <xdr:from>
      <xdr:col>0</xdr:col>
      <xdr:colOff>0</xdr:colOff>
      <xdr:row>101</xdr:row>
      <xdr:rowOff>0</xdr:rowOff>
    </xdr:from>
    <xdr:to>
      <xdr:col>7</xdr:col>
      <xdr:colOff>258288</xdr:colOff>
      <xdr:row>120</xdr:row>
      <xdr:rowOff>160337</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0" y="24355425"/>
          <a:ext cx="6147913" cy="3629025"/>
        </a:xfrm>
        <a:prstGeom prst="rect">
          <a:avLst/>
        </a:prstGeom>
      </xdr:spPr>
    </xdr:pic>
    <xdr:clientData/>
  </xdr:twoCellAnchor>
  <xdr:twoCellAnchor editAs="oneCell">
    <xdr:from>
      <xdr:col>0</xdr:col>
      <xdr:colOff>0</xdr:colOff>
      <xdr:row>84</xdr:row>
      <xdr:rowOff>0</xdr:rowOff>
    </xdr:from>
    <xdr:to>
      <xdr:col>7</xdr:col>
      <xdr:colOff>63832</xdr:colOff>
      <xdr:row>98</xdr:row>
      <xdr:rowOff>62738</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0" y="19850100"/>
          <a:ext cx="5953457" cy="2618613"/>
        </a:xfrm>
        <a:prstGeom prst="rect">
          <a:avLst/>
        </a:prstGeom>
      </xdr:spPr>
    </xdr:pic>
    <xdr:clientData/>
  </xdr:twoCellAnchor>
  <xdr:twoCellAnchor editAs="oneCell">
    <xdr:from>
      <xdr:col>0</xdr:col>
      <xdr:colOff>0</xdr:colOff>
      <xdr:row>124</xdr:row>
      <xdr:rowOff>284163</xdr:rowOff>
    </xdr:from>
    <xdr:to>
      <xdr:col>7</xdr:col>
      <xdr:colOff>200009</xdr:colOff>
      <xdr:row>135</xdr:row>
      <xdr:rowOff>163391</xdr:rowOff>
    </xdr:to>
    <xdr:pic>
      <xdr:nvPicPr>
        <xdr:cNvPr id="19" name="Grafik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0" y="28478163"/>
          <a:ext cx="6510322" cy="27367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12</xdr:row>
          <xdr:rowOff>28575</xdr:rowOff>
        </xdr:from>
        <xdr:to>
          <xdr:col>3</xdr:col>
          <xdr:colOff>447675</xdr:colOff>
          <xdr:row>12</xdr:row>
          <xdr:rowOff>190500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647700</xdr:colOff>
      <xdr:row>20</xdr:row>
      <xdr:rowOff>76200</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142875</xdr:rowOff>
    </xdr:from>
    <xdr:to>
      <xdr:col>6</xdr:col>
      <xdr:colOff>628650</xdr:colOff>
      <xdr:row>37</xdr:row>
      <xdr:rowOff>28575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168728</xdr:rowOff>
    </xdr:from>
    <xdr:to>
      <xdr:col>6</xdr:col>
      <xdr:colOff>615950</xdr:colOff>
      <xdr:row>54</xdr:row>
      <xdr:rowOff>54428</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581024</xdr:colOff>
      <xdr:row>1</xdr:row>
      <xdr:rowOff>33337</xdr:rowOff>
    </xdr:from>
    <xdr:to>
      <xdr:col>13</xdr:col>
      <xdr:colOff>742949</xdr:colOff>
      <xdr:row>15</xdr:row>
      <xdr:rowOff>109537</xdr:rowOff>
    </xdr:to>
    <xdr:graphicFrame macro="">
      <xdr:nvGraphicFramePr>
        <xdr:cNvPr id="6" name="Diagramm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499984740745262"/>
  </sheetPr>
  <dimension ref="A4:J154"/>
  <sheetViews>
    <sheetView showGridLines="0" tabSelected="1" zoomScale="115" zoomScaleNormal="115" zoomScalePageLayoutView="120" workbookViewId="0">
      <selection activeCell="C8" sqref="C8:D8"/>
    </sheetView>
  </sheetViews>
  <sheetFormatPr baseColWidth="10" defaultColWidth="11.42578125" defaultRowHeight="14.25"/>
  <cols>
    <col min="1" max="1" width="11.42578125" style="134"/>
    <col min="2" max="2" width="18" style="134" customWidth="1"/>
    <col min="3" max="3" width="11.7109375" style="134" customWidth="1"/>
    <col min="4" max="4" width="8" style="134" customWidth="1"/>
    <col min="5" max="5" width="14.28515625" style="134" customWidth="1"/>
    <col min="6" max="6" width="11.42578125" style="134"/>
    <col min="7" max="7" width="13.42578125" style="134" customWidth="1"/>
    <col min="8" max="8" width="7.7109375" style="134" customWidth="1"/>
    <col min="9" max="16384" width="11.42578125" style="134"/>
  </cols>
  <sheetData>
    <row r="4" spans="1:8" ht="33.75">
      <c r="A4" s="231" t="str">
        <f ca="1">IF(Hilfe!B1=YEAR(TODAY()),"Fondsdepot versus CleVesto Select","Version ist ungültig!")</f>
        <v>Fondsdepot versus CleVesto Select</v>
      </c>
      <c r="B4" s="232"/>
      <c r="C4" s="232"/>
      <c r="D4" s="232"/>
      <c r="E4" s="232"/>
      <c r="F4" s="232"/>
      <c r="G4" s="232"/>
      <c r="H4" s="232"/>
    </row>
    <row r="6" spans="1:8" ht="18">
      <c r="A6" s="191" t="s">
        <v>21</v>
      </c>
      <c r="B6" s="191"/>
      <c r="C6" s="191"/>
      <c r="D6" s="191"/>
      <c r="E6" s="191"/>
      <c r="F6" s="191"/>
      <c r="G6" s="191"/>
      <c r="H6" s="191"/>
    </row>
    <row r="8" spans="1:8">
      <c r="A8" s="215" t="s">
        <v>90</v>
      </c>
      <c r="B8" s="215"/>
      <c r="C8" s="239">
        <v>50000</v>
      </c>
      <c r="D8" s="239"/>
      <c r="E8" s="233" t="s">
        <v>1</v>
      </c>
      <c r="F8" s="233"/>
    </row>
    <row r="9" spans="1:8" ht="18" customHeight="1">
      <c r="A9" s="235" t="s">
        <v>91</v>
      </c>
      <c r="B9" s="235"/>
      <c r="C9" s="240">
        <f>Hilfe!B54</f>
        <v>12</v>
      </c>
      <c r="D9" s="240"/>
      <c r="E9" s="211" t="s">
        <v>108</v>
      </c>
      <c r="F9" s="233"/>
    </row>
    <row r="10" spans="1:8" ht="17.25" customHeight="1">
      <c r="A10" s="215" t="str">
        <f>IF(Hilfe!B3=1,"monatlicher Beitrag",IF(Hilfe!B3=2,"jährlicher Beitrag","Einmalbeitrag"))</f>
        <v>Einmalbeitrag</v>
      </c>
      <c r="B10" s="215"/>
      <c r="C10" s="241">
        <v>100000</v>
      </c>
      <c r="D10" s="241"/>
      <c r="E10" s="234" t="s">
        <v>22</v>
      </c>
      <c r="F10" s="234"/>
      <c r="G10" s="20"/>
      <c r="H10" s="20"/>
    </row>
    <row r="11" spans="1:8">
      <c r="A11" s="236" t="s">
        <v>92</v>
      </c>
      <c r="B11" s="236"/>
      <c r="C11" s="101"/>
      <c r="E11" s="237" t="s">
        <v>121</v>
      </c>
      <c r="F11" s="238"/>
      <c r="G11" s="227">
        <v>0</v>
      </c>
      <c r="H11" s="228"/>
    </row>
    <row r="12" spans="1:8">
      <c r="A12" s="236" t="s">
        <v>8</v>
      </c>
      <c r="B12" s="236"/>
      <c r="C12" s="101"/>
      <c r="E12" s="238"/>
      <c r="F12" s="238"/>
    </row>
    <row r="13" spans="1:8" ht="17.25" customHeight="1">
      <c r="A13" s="248" t="s">
        <v>137</v>
      </c>
      <c r="B13" s="236"/>
      <c r="C13" s="101"/>
      <c r="E13" s="133"/>
      <c r="F13" s="133"/>
    </row>
    <row r="15" spans="1:8" ht="18">
      <c r="A15" s="191" t="s">
        <v>35</v>
      </c>
      <c r="B15" s="191"/>
      <c r="C15" s="191"/>
      <c r="D15" s="191"/>
      <c r="E15" s="191"/>
      <c r="F15" s="191"/>
      <c r="G15" s="191"/>
      <c r="H15" s="191"/>
    </row>
    <row r="17" spans="1:8">
      <c r="C17" s="217" t="s">
        <v>11</v>
      </c>
      <c r="D17" s="217"/>
      <c r="E17" s="217" t="s">
        <v>12</v>
      </c>
      <c r="F17" s="217"/>
      <c r="G17" s="217" t="s">
        <v>31</v>
      </c>
      <c r="H17" s="217"/>
    </row>
    <row r="18" spans="1:8">
      <c r="A18" s="247" t="s">
        <v>109</v>
      </c>
      <c r="B18" s="216"/>
      <c r="C18" s="243">
        <v>1</v>
      </c>
      <c r="D18" s="244"/>
      <c r="E18" s="243">
        <v>0</v>
      </c>
      <c r="F18" s="244"/>
      <c r="G18" s="213">
        <f>IF(1-C18-E18&lt;0,"Achtung!",1-C18-E18)</f>
        <v>0</v>
      </c>
      <c r="H18" s="214"/>
    </row>
    <row r="19" spans="1:8" ht="8.25" customHeight="1"/>
    <row r="20" spans="1:8">
      <c r="C20" s="217" t="s">
        <v>11</v>
      </c>
      <c r="D20" s="217"/>
      <c r="E20" s="217" t="s">
        <v>12</v>
      </c>
      <c r="F20" s="217"/>
      <c r="G20" s="217" t="s">
        <v>31</v>
      </c>
      <c r="H20" s="217"/>
    </row>
    <row r="21" spans="1:8">
      <c r="A21" s="215" t="s">
        <v>10</v>
      </c>
      <c r="B21" s="233"/>
      <c r="C21" s="245">
        <v>0.01</v>
      </c>
      <c r="D21" s="246"/>
      <c r="E21" s="208">
        <v>0.01</v>
      </c>
      <c r="F21" s="209"/>
      <c r="G21" s="208">
        <v>0.01</v>
      </c>
      <c r="H21" s="209"/>
    </row>
    <row r="22" spans="1:8">
      <c r="A22" s="215" t="s">
        <v>32</v>
      </c>
      <c r="B22" s="216"/>
      <c r="C22" s="208">
        <v>0.01</v>
      </c>
      <c r="D22" s="209"/>
      <c r="E22" s="208">
        <v>0.01</v>
      </c>
      <c r="F22" s="209"/>
      <c r="G22" s="208">
        <v>0.01</v>
      </c>
      <c r="H22" s="209"/>
    </row>
    <row r="23" spans="1:8" ht="7.5" customHeight="1">
      <c r="G23" s="242" t="s">
        <v>117</v>
      </c>
      <c r="H23" s="242"/>
    </row>
    <row r="24" spans="1:8">
      <c r="C24" s="217" t="s">
        <v>100</v>
      </c>
      <c r="D24" s="217"/>
      <c r="E24" s="217" t="s">
        <v>101</v>
      </c>
      <c r="F24" s="217"/>
      <c r="G24" s="242"/>
      <c r="H24" s="242"/>
    </row>
    <row r="25" spans="1:8" ht="24.75" customHeight="1">
      <c r="A25" s="220" t="s">
        <v>120</v>
      </c>
      <c r="B25" s="216"/>
      <c r="C25" s="250">
        <v>39</v>
      </c>
      <c r="D25" s="251"/>
      <c r="E25" s="227">
        <v>5.0000000000000001E-3</v>
      </c>
      <c r="F25" s="228"/>
    </row>
    <row r="26" spans="1:8" ht="9" customHeight="1"/>
    <row r="27" spans="1:8">
      <c r="C27" s="217" t="s">
        <v>103</v>
      </c>
      <c r="D27" s="217"/>
      <c r="E27" s="217" t="s">
        <v>34</v>
      </c>
      <c r="F27" s="217"/>
      <c r="G27" s="221" t="str">
        <f>IF(C28/Hilfe!B9&gt;801,"Achtung: Freibetrag ist zu hoch!","")</f>
        <v/>
      </c>
      <c r="H27" s="221"/>
    </row>
    <row r="28" spans="1:8" ht="15" customHeight="1">
      <c r="A28" s="220" t="s">
        <v>102</v>
      </c>
      <c r="B28" s="216"/>
      <c r="C28" s="224">
        <v>0</v>
      </c>
      <c r="D28" s="225"/>
      <c r="E28" s="224">
        <v>0</v>
      </c>
      <c r="F28" s="225"/>
      <c r="G28" s="221"/>
      <c r="H28" s="221"/>
    </row>
    <row r="29" spans="1:8" ht="9.75" customHeight="1">
      <c r="A29" s="229" t="s">
        <v>104</v>
      </c>
      <c r="B29" s="229"/>
    </row>
    <row r="30" spans="1:8">
      <c r="C30" s="217" t="s">
        <v>71</v>
      </c>
      <c r="D30" s="217"/>
    </row>
    <row r="31" spans="1:8">
      <c r="A31" s="222" t="s">
        <v>152</v>
      </c>
      <c r="B31" s="223"/>
      <c r="C31" s="224">
        <v>0</v>
      </c>
      <c r="D31" s="225"/>
      <c r="E31" s="226" t="str">
        <f>IF(C31&gt;0,"ACHTUNG: Eine individuelle Ablaufleistung wurde vorgegeben!","")</f>
        <v/>
      </c>
      <c r="F31" s="226"/>
      <c r="G31" s="226"/>
      <c r="H31" s="226"/>
    </row>
    <row r="32" spans="1:8">
      <c r="B32" s="230" t="s">
        <v>153</v>
      </c>
      <c r="C32" s="230"/>
      <c r="D32" s="230"/>
      <c r="E32" s="230"/>
      <c r="F32" s="230"/>
    </row>
    <row r="33" spans="1:10" ht="18">
      <c r="A33" s="191" t="s">
        <v>51</v>
      </c>
      <c r="B33" s="191"/>
      <c r="C33" s="191"/>
      <c r="D33" s="191"/>
      <c r="E33" s="191"/>
      <c r="F33" s="191"/>
      <c r="G33" s="191"/>
      <c r="H33" s="191"/>
    </row>
    <row r="35" spans="1:10" ht="43.5" customHeight="1">
      <c r="A35" s="192" t="s">
        <v>110</v>
      </c>
      <c r="B35" s="192"/>
      <c r="C35" s="192"/>
      <c r="D35" s="192"/>
      <c r="E35" s="192"/>
      <c r="F35" s="192"/>
      <c r="G35" s="192"/>
      <c r="H35" s="192"/>
    </row>
    <row r="37" spans="1:10" ht="39.75" customHeight="1" thickBot="1">
      <c r="A37" s="261" t="s">
        <v>150</v>
      </c>
      <c r="B37" s="262"/>
      <c r="C37" s="262"/>
      <c r="D37" s="263"/>
      <c r="E37" s="264" t="s">
        <v>151</v>
      </c>
      <c r="F37" s="265"/>
      <c r="G37" s="265"/>
      <c r="H37" s="265"/>
      <c r="J37" s="145"/>
    </row>
    <row r="38" spans="1:10">
      <c r="B38" s="177" t="s">
        <v>149</v>
      </c>
      <c r="E38" s="135"/>
      <c r="F38" s="136"/>
      <c r="G38" s="136"/>
      <c r="H38" s="136"/>
    </row>
    <row r="39" spans="1:10" ht="15" customHeight="1">
      <c r="A39" s="266" t="str">
        <f>"mit aktuellem Basiszins ("&amp;'Berechnung Ratierlich heute'!M1*100&amp;"%)"</f>
        <v>mit aktuellem Basiszins (0%)</v>
      </c>
      <c r="B39" s="266"/>
      <c r="C39" s="146">
        <f>Hilfe!F20</f>
        <v>158048.73404191731</v>
      </c>
      <c r="D39" s="143"/>
      <c r="E39" s="210" t="s">
        <v>16</v>
      </c>
      <c r="F39" s="211"/>
      <c r="G39" s="146">
        <f>Hilfe!G45</f>
        <v>167011.58050000004</v>
      </c>
      <c r="H39" s="143">
        <f t="shared" ref="H39:H42" si="0">G39/$C$39-1</f>
        <v>5.6709384687039677E-2</v>
      </c>
    </row>
    <row r="40" spans="1:10">
      <c r="A40" s="266" t="str">
        <f>"mit simulierten Basiszins ("&amp;'Berechnung Ratierlich 2%'!M1*100&amp;"%)"</f>
        <v>mit simulierten Basiszins (2%)</v>
      </c>
      <c r="B40" s="266"/>
      <c r="C40" s="146">
        <f>Hilfe!F21</f>
        <v>149607.8331983973</v>
      </c>
      <c r="D40" s="143">
        <f>C40/$C$39-1</f>
        <v>-5.3406950044163848E-2</v>
      </c>
      <c r="E40" s="210" t="s">
        <v>56</v>
      </c>
      <c r="F40" s="211"/>
      <c r="G40" s="146">
        <f>Hilfe!G46</f>
        <v>174598.17813343453</v>
      </c>
      <c r="H40" s="143">
        <f t="shared" si="0"/>
        <v>0.10471101962213769</v>
      </c>
    </row>
    <row r="41" spans="1:10">
      <c r="A41" s="266" t="str">
        <f>"mit simulierten Basiszins ("&amp;'Berechnung Ratierlich 4%'!M1*100&amp;"%)"</f>
        <v>mit simulierten Basiszins (4%)</v>
      </c>
      <c r="B41" s="266"/>
      <c r="C41" s="146">
        <f>Hilfe!F22</f>
        <v>141544.38732876984</v>
      </c>
      <c r="D41" s="143">
        <f>C41/$C$39-1</f>
        <v>-0.10442568118748885</v>
      </c>
      <c r="E41" s="210" t="s">
        <v>55</v>
      </c>
      <c r="F41" s="211"/>
      <c r="G41" s="146">
        <f>Hilfe!G47</f>
        <v>175935.11504631594</v>
      </c>
      <c r="H41" s="143">
        <f t="shared" si="0"/>
        <v>0.11317003652591651</v>
      </c>
    </row>
    <row r="42" spans="1:10">
      <c r="C42" s="137"/>
      <c r="D42" s="137"/>
      <c r="E42" s="210" t="s">
        <v>54</v>
      </c>
      <c r="F42" s="211"/>
      <c r="G42" s="146">
        <f>Hilfe!G48</f>
        <v>186376.00000000006</v>
      </c>
      <c r="H42" s="143">
        <f t="shared" si="0"/>
        <v>0.17923121073889692</v>
      </c>
    </row>
    <row r="43" spans="1:10" ht="20.25" customHeight="1">
      <c r="A43" s="212" t="str">
        <f>"Bei den Berechnungen wurden "&amp;Wechsel!I31&amp;" Wechsel berücksichtigt!"</f>
        <v>Bei den Berechnungen wurden 3 Wechsel berücksichtigt!</v>
      </c>
      <c r="B43" s="212"/>
      <c r="C43" s="212"/>
      <c r="D43" s="212"/>
      <c r="E43" s="212"/>
      <c r="F43" s="212"/>
      <c r="G43" s="212"/>
      <c r="H43" s="212"/>
    </row>
    <row r="44" spans="1:10" ht="6" customHeight="1">
      <c r="B44" s="218" t="str">
        <f>IF(Wechsel!I31=Wechsel!C6,"","ACHTUNG: Durch Rundungen konnten nur "&amp;Wechsel!I31&amp;" Wechsel berücksichtigt werden!")</f>
        <v/>
      </c>
      <c r="C44" s="218"/>
      <c r="D44" s="218"/>
      <c r="E44" s="218"/>
      <c r="F44" s="218"/>
      <c r="G44" s="218"/>
    </row>
    <row r="45" spans="1:10" ht="6" customHeight="1">
      <c r="B45" s="218"/>
      <c r="C45" s="218"/>
      <c r="D45" s="218"/>
      <c r="E45" s="218"/>
      <c r="F45" s="218"/>
      <c r="G45" s="218"/>
    </row>
    <row r="47" spans="1:10" ht="51" customHeight="1">
      <c r="A47" s="192" t="s">
        <v>105</v>
      </c>
      <c r="B47" s="192"/>
      <c r="C47" s="192"/>
      <c r="D47" s="192"/>
      <c r="E47" s="192"/>
      <c r="F47" s="192"/>
      <c r="G47" s="192"/>
    </row>
    <row r="48" spans="1:10" ht="15.75">
      <c r="A48" s="219" t="s">
        <v>79</v>
      </c>
      <c r="B48" s="219"/>
      <c r="C48" s="219"/>
      <c r="D48" s="219"/>
      <c r="E48" s="219"/>
      <c r="F48" s="219"/>
      <c r="G48" s="219"/>
      <c r="H48" s="219"/>
    </row>
    <row r="51" spans="10:10">
      <c r="J51" s="137"/>
    </row>
    <row r="67" spans="1:8" ht="91.5" customHeight="1">
      <c r="A67" s="192" t="s">
        <v>107</v>
      </c>
      <c r="B67" s="192"/>
      <c r="C67" s="192"/>
      <c r="D67" s="192"/>
      <c r="E67" s="192"/>
      <c r="F67" s="192"/>
      <c r="G67" s="192"/>
      <c r="H67" s="192"/>
    </row>
    <row r="68" spans="1:8" ht="107.25" customHeight="1">
      <c r="A68" s="192" t="s">
        <v>106</v>
      </c>
      <c r="B68" s="192"/>
      <c r="C68" s="192"/>
      <c r="D68" s="192"/>
      <c r="E68" s="192"/>
      <c r="F68" s="192"/>
      <c r="G68" s="192"/>
      <c r="H68" s="192"/>
    </row>
    <row r="70" spans="1:8" ht="18">
      <c r="A70" s="191" t="s">
        <v>112</v>
      </c>
      <c r="B70" s="191"/>
      <c r="C70" s="191"/>
      <c r="D70" s="191"/>
      <c r="E70" s="191"/>
      <c r="F70" s="191"/>
      <c r="G70" s="191"/>
      <c r="H70" s="191"/>
    </row>
    <row r="72" spans="1:8" ht="38.25" customHeight="1">
      <c r="A72" s="192" t="s">
        <v>95</v>
      </c>
      <c r="B72" s="192"/>
      <c r="C72" s="192"/>
      <c r="D72" s="192"/>
      <c r="E72" s="192"/>
      <c r="F72" s="192"/>
      <c r="G72" s="192"/>
      <c r="H72" s="192"/>
    </row>
    <row r="73" spans="1:8" ht="61.5" customHeight="1">
      <c r="A73" s="192" t="str">
        <f>"Um die Renditevorgabe von "&amp;Hilfe!E3*100&amp;"% p. a. einordnen zu können, wurden zum Vergleich "&amp;"alle monatlichen Verläufe des Deutschen Aktienindex (DAX®) in dem Zeitraum 30.10.1959 bis 30.12."&amp;Hilfe!B1&amp;" berechnet. In der folgenden Tabelle sind der schlechteste und der beste und zusätzlich der Mittelwert über alle Verläufe aufgeführt. "</f>
        <v xml:space="preserve">Um die Renditevorgabe von 6% p. a. einordnen zu können, wurden zum Vergleich alle monatlichen Verläufe des Deutschen Aktienindex (DAX®) in dem Zeitraum 30.10.1959 bis 30.12.2022 berechnet. In der folgenden Tabelle sind der schlechteste und der beste und zusätzlich der Mittelwert über alle Verläufe aufgeführt. </v>
      </c>
      <c r="B73" s="192"/>
      <c r="C73" s="192"/>
      <c r="D73" s="192"/>
      <c r="E73" s="192"/>
      <c r="F73" s="192"/>
      <c r="G73" s="192"/>
      <c r="H73" s="192"/>
    </row>
    <row r="74" spans="1:8" ht="15" customHeight="1" thickBot="1">
      <c r="A74" s="138"/>
      <c r="B74" s="193" t="s">
        <v>94</v>
      </c>
      <c r="C74" s="193"/>
      <c r="D74" s="193"/>
      <c r="E74" s="193"/>
      <c r="F74" s="193"/>
      <c r="G74" s="138"/>
      <c r="H74" s="138"/>
    </row>
    <row r="75" spans="1:8">
      <c r="A75" s="138"/>
      <c r="B75" s="202" t="s">
        <v>84</v>
      </c>
      <c r="C75" s="202"/>
      <c r="D75" s="194">
        <f>Hilfe!F106</f>
        <v>0.12464875304130613</v>
      </c>
      <c r="E75" s="195"/>
      <c r="F75" s="195"/>
      <c r="G75" s="138"/>
      <c r="H75" s="138"/>
    </row>
    <row r="76" spans="1:8">
      <c r="A76" s="138"/>
      <c r="B76" s="202" t="s">
        <v>85</v>
      </c>
      <c r="C76" s="202"/>
      <c r="D76" s="196">
        <f>Hilfe!D106</f>
        <v>1.0661566447326017E-2</v>
      </c>
      <c r="E76" s="197"/>
      <c r="F76" s="197"/>
      <c r="G76" s="138"/>
      <c r="H76" s="138"/>
    </row>
    <row r="77" spans="1:8">
      <c r="A77" s="138"/>
      <c r="B77" s="203" t="s">
        <v>86</v>
      </c>
      <c r="C77" s="203"/>
      <c r="D77" s="198">
        <f>Hilfe!E106</f>
        <v>5.7439106935899882E-2</v>
      </c>
      <c r="E77" s="199"/>
      <c r="F77" s="199"/>
      <c r="G77" s="138"/>
      <c r="H77" s="138"/>
    </row>
    <row r="78" spans="1:8">
      <c r="A78" s="138"/>
      <c r="B78" s="202" t="s">
        <v>87</v>
      </c>
      <c r="C78" s="202"/>
      <c r="D78" s="200">
        <f>Hilfe!G106</f>
        <v>602</v>
      </c>
      <c r="E78" s="201"/>
      <c r="F78" s="201"/>
      <c r="G78" s="138"/>
      <c r="H78" s="138"/>
    </row>
    <row r="79" spans="1:8">
      <c r="A79" s="138"/>
      <c r="B79" s="202" t="s">
        <v>14</v>
      </c>
      <c r="C79" s="202"/>
      <c r="D79" s="200">
        <f>Hilfe!C106</f>
        <v>12</v>
      </c>
      <c r="E79" s="201"/>
      <c r="F79" s="201"/>
      <c r="G79" s="138"/>
      <c r="H79" s="138"/>
    </row>
    <row r="80" spans="1:8">
      <c r="A80" s="138"/>
      <c r="B80" s="138"/>
      <c r="C80" s="138"/>
      <c r="D80" s="138"/>
      <c r="E80" s="138"/>
      <c r="F80" s="138"/>
      <c r="G80" s="138"/>
      <c r="H80" s="138"/>
    </row>
    <row r="81" spans="1:8">
      <c r="A81" s="138"/>
      <c r="B81" s="138"/>
      <c r="C81" s="138"/>
      <c r="D81" s="138"/>
      <c r="E81" s="138"/>
      <c r="F81" s="138"/>
      <c r="G81" s="138"/>
      <c r="H81" s="138"/>
    </row>
    <row r="82" spans="1:8">
      <c r="A82" s="138"/>
      <c r="B82" s="138"/>
      <c r="C82" s="138"/>
      <c r="D82" s="138"/>
      <c r="E82" s="138"/>
      <c r="F82" s="138"/>
      <c r="G82" s="138"/>
      <c r="H82" s="138"/>
    </row>
    <row r="83" spans="1:8" ht="15">
      <c r="A83" s="249" t="s">
        <v>96</v>
      </c>
      <c r="B83" s="249"/>
      <c r="C83" s="249"/>
      <c r="D83" s="249"/>
      <c r="E83" s="249"/>
      <c r="F83" s="249"/>
      <c r="G83" s="249"/>
    </row>
    <row r="84" spans="1:8" ht="67.5" customHeight="1">
      <c r="A84" s="192" t="s">
        <v>111</v>
      </c>
      <c r="B84" s="192"/>
      <c r="C84" s="192"/>
      <c r="D84" s="192"/>
      <c r="E84" s="192"/>
      <c r="F84" s="192"/>
      <c r="G84" s="192"/>
      <c r="H84" s="192"/>
    </row>
    <row r="85" spans="1:8">
      <c r="A85" s="138"/>
      <c r="B85" s="138"/>
      <c r="C85" s="138"/>
      <c r="D85" s="138"/>
      <c r="E85" s="138"/>
      <c r="F85" s="138"/>
      <c r="G85" s="138"/>
      <c r="H85" s="138"/>
    </row>
    <row r="86" spans="1:8">
      <c r="A86" s="138"/>
      <c r="B86" s="138"/>
      <c r="C86" s="138"/>
      <c r="D86" s="138"/>
      <c r="E86" s="138"/>
      <c r="F86" s="138"/>
      <c r="G86" s="138"/>
      <c r="H86" s="138"/>
    </row>
    <row r="87" spans="1:8">
      <c r="A87" s="138"/>
      <c r="B87" s="138"/>
      <c r="C87" s="138"/>
      <c r="D87" s="138"/>
      <c r="E87" s="138"/>
      <c r="F87" s="138"/>
      <c r="G87" s="138"/>
      <c r="H87" s="138"/>
    </row>
    <row r="88" spans="1:8">
      <c r="A88" s="138"/>
      <c r="B88" s="138"/>
      <c r="C88" s="138"/>
      <c r="D88" s="138"/>
      <c r="E88" s="138"/>
      <c r="F88" s="138"/>
      <c r="G88" s="138"/>
      <c r="H88" s="138"/>
    </row>
    <row r="89" spans="1:8">
      <c r="A89" s="138"/>
      <c r="B89" s="138"/>
      <c r="C89" s="138"/>
      <c r="D89" s="138"/>
      <c r="E89" s="138"/>
      <c r="F89" s="138"/>
      <c r="G89" s="138"/>
      <c r="H89" s="138"/>
    </row>
    <row r="90" spans="1:8">
      <c r="A90" s="138"/>
      <c r="B90" s="138"/>
      <c r="C90" s="138"/>
      <c r="D90" s="138"/>
      <c r="E90" s="138"/>
      <c r="F90" s="138"/>
      <c r="G90" s="138"/>
      <c r="H90" s="138"/>
    </row>
    <row r="91" spans="1:8">
      <c r="A91" s="138"/>
      <c r="B91" s="138"/>
      <c r="C91" s="138"/>
      <c r="D91" s="138"/>
      <c r="E91" s="138"/>
      <c r="F91" s="138"/>
      <c r="G91" s="138"/>
      <c r="H91" s="138"/>
    </row>
    <row r="92" spans="1:8">
      <c r="A92" s="138"/>
      <c r="B92" s="138"/>
      <c r="C92" s="138"/>
      <c r="D92" s="138"/>
      <c r="E92" s="138"/>
      <c r="F92" s="138"/>
      <c r="G92" s="138"/>
      <c r="H92" s="138"/>
    </row>
    <row r="93" spans="1:8">
      <c r="A93" s="138"/>
      <c r="B93" s="138"/>
      <c r="C93" s="138"/>
      <c r="D93" s="138"/>
      <c r="E93" s="138"/>
      <c r="F93" s="138"/>
      <c r="G93" s="138"/>
      <c r="H93" s="138"/>
    </row>
    <row r="94" spans="1:8">
      <c r="A94" s="138"/>
      <c r="B94" s="138"/>
      <c r="C94" s="138"/>
      <c r="D94" s="138"/>
      <c r="E94" s="138"/>
      <c r="F94" s="138"/>
      <c r="G94" s="138"/>
      <c r="H94" s="138"/>
    </row>
    <row r="95" spans="1:8">
      <c r="A95" s="138"/>
      <c r="B95" s="138"/>
      <c r="C95" s="138"/>
      <c r="D95" s="138"/>
      <c r="E95" s="138"/>
      <c r="F95" s="138"/>
      <c r="G95" s="138"/>
      <c r="H95" s="138"/>
    </row>
    <row r="96" spans="1:8">
      <c r="A96" s="138"/>
      <c r="B96" s="138"/>
      <c r="C96" s="138"/>
      <c r="D96" s="138"/>
      <c r="E96" s="138"/>
      <c r="F96" s="138"/>
      <c r="G96" s="138"/>
      <c r="H96" s="138"/>
    </row>
    <row r="100" spans="1:8" ht="15">
      <c r="A100" s="249" t="s">
        <v>113</v>
      </c>
      <c r="B100" s="249"/>
      <c r="C100" s="249"/>
      <c r="D100" s="249"/>
      <c r="E100" s="249"/>
      <c r="F100" s="249"/>
      <c r="G100" s="249"/>
      <c r="H100" s="249"/>
    </row>
    <row r="101" spans="1:8" ht="116.25" customHeight="1">
      <c r="A101" s="192" t="s">
        <v>114</v>
      </c>
      <c r="B101" s="192"/>
      <c r="C101" s="192"/>
      <c r="D101" s="192"/>
      <c r="E101" s="192"/>
      <c r="F101" s="192"/>
      <c r="G101" s="192"/>
      <c r="H101" s="192"/>
    </row>
    <row r="125" ht="81" customHeight="1"/>
    <row r="138" spans="1:8" ht="15">
      <c r="A138" s="249" t="s">
        <v>97</v>
      </c>
      <c r="B138" s="249"/>
      <c r="C138" s="249"/>
      <c r="D138" s="249"/>
      <c r="E138" s="249"/>
      <c r="F138" s="249"/>
      <c r="G138" s="249"/>
    </row>
    <row r="139" spans="1:8" ht="31.5" customHeight="1">
      <c r="A139" s="192" t="s">
        <v>115</v>
      </c>
      <c r="B139" s="192"/>
      <c r="C139" s="192"/>
      <c r="D139" s="192"/>
      <c r="E139" s="192"/>
      <c r="F139" s="192"/>
      <c r="G139" s="192"/>
      <c r="H139" s="192"/>
    </row>
    <row r="140" spans="1:8" ht="33.75" customHeight="1">
      <c r="A140" s="192" t="s">
        <v>98</v>
      </c>
      <c r="B140" s="192"/>
      <c r="C140" s="192"/>
      <c r="D140" s="192"/>
      <c r="E140" s="192"/>
      <c r="F140" s="192"/>
      <c r="G140" s="192"/>
      <c r="H140" s="192"/>
    </row>
    <row r="141" spans="1:8">
      <c r="A141" s="139"/>
      <c r="B141" s="139"/>
      <c r="C141" s="139"/>
      <c r="D141" s="139"/>
      <c r="E141" s="139"/>
      <c r="F141" s="139"/>
      <c r="G141" s="139"/>
      <c r="H141" s="139"/>
    </row>
    <row r="142" spans="1:8" ht="15.75" thickBot="1">
      <c r="A142" s="139"/>
      <c r="B142" s="207" t="s">
        <v>88</v>
      </c>
      <c r="C142" s="207"/>
      <c r="D142" s="207"/>
      <c r="E142" s="207"/>
      <c r="F142" s="207"/>
      <c r="G142" s="139"/>
      <c r="H142" s="139"/>
    </row>
    <row r="143" spans="1:8">
      <c r="A143" s="140"/>
      <c r="B143" s="258" t="s">
        <v>13</v>
      </c>
      <c r="C143" s="258"/>
      <c r="D143" s="258"/>
      <c r="E143" s="257">
        <f>Hilfe!E29</f>
        <v>100000</v>
      </c>
      <c r="F143" s="257"/>
      <c r="G143" s="139"/>
      <c r="H143" s="139"/>
    </row>
    <row r="144" spans="1:8">
      <c r="A144" s="140"/>
      <c r="B144" s="260" t="s">
        <v>148</v>
      </c>
      <c r="C144" s="260"/>
      <c r="D144" s="260"/>
      <c r="E144" s="259">
        <f>ROUND(IF(Hilfe!B3=1,FV(2%/Hilfe!B4,Eingabe!C9*Hilfe!B4,-'Berechnung Ratierlich heute'!C11/12),'Berechnung EB heute'!C11*(1+2%)^Hilfe!B54)/100,0)*100</f>
        <v>125600</v>
      </c>
      <c r="F144" s="259"/>
      <c r="G144" s="139"/>
      <c r="H144" s="139"/>
    </row>
    <row r="145" spans="1:8" ht="3.75" customHeight="1">
      <c r="A145" s="140"/>
      <c r="G145" s="139"/>
      <c r="H145" s="139"/>
    </row>
    <row r="146" spans="1:8" ht="15" customHeight="1">
      <c r="A146" s="140"/>
      <c r="B146" s="253" t="str">
        <f>"Ohne Garantie (Mittelwert: ca. "&amp;FIXED(D77*100,2)&amp;"%)"</f>
        <v>Ohne Garantie (Mittelwert: ca. 5,74%)</v>
      </c>
      <c r="C146" s="253"/>
      <c r="D146" s="253"/>
      <c r="E146" s="252">
        <f>ROUND(IF(Hilfe!B3=1,FV(D77/Hilfe!B4,Eingabe!C9*Hilfe!B4,-'Berechnung Ratierlich heute'!C11/12),'Berechnung EB heute'!C11*(1+D77)^Hilfe!B54)/100,0)*100</f>
        <v>193500</v>
      </c>
      <c r="F146" s="252"/>
      <c r="G146" s="141"/>
      <c r="H146" s="139"/>
    </row>
    <row r="147" spans="1:8" ht="15.75" thickBot="1">
      <c r="A147" s="139"/>
      <c r="B147" s="254" t="s">
        <v>89</v>
      </c>
      <c r="C147" s="254"/>
      <c r="D147" s="254"/>
      <c r="E147" s="255">
        <f>E146-E144</f>
        <v>67900</v>
      </c>
      <c r="F147" s="256"/>
      <c r="G147" s="139"/>
      <c r="H147" s="139"/>
    </row>
    <row r="148" spans="1:8">
      <c r="A148" s="139"/>
      <c r="B148" s="139"/>
      <c r="C148" s="139"/>
      <c r="D148" s="139"/>
      <c r="E148" s="139"/>
      <c r="F148" s="139"/>
      <c r="G148" s="139"/>
      <c r="H148" s="139"/>
    </row>
    <row r="149" spans="1:8" ht="66.75" customHeight="1">
      <c r="A149" s="192" t="str">
        <f>"Gegenüber des Mittelwertes der Vergangenheit hätte der Vertrag mit Garantie ca. "&amp;FIXED(E147,0)&amp;" € weniger erwirtschaftet ohne dass die Garantie überhaupt benötigt worden wäre! Dies bedeutet: Im Mittel hätte es "&amp;FIXED(E147,0)&amp;" € gekostet, eine Beitragssumme von "&amp;FIXED(E143,0)&amp;" € Beitrag zu sichern."</f>
        <v>Gegenüber des Mittelwertes der Vergangenheit hätte der Vertrag mit Garantie ca. 67.900 € weniger erwirtschaftet ohne dass die Garantie überhaupt benötigt worden wäre! Dies bedeutet: Im Mittel hätte es 67.900 € gekostet, eine Beitragssumme von 100.000 € Beitrag zu sichern.</v>
      </c>
      <c r="B149" s="192"/>
      <c r="C149" s="192"/>
      <c r="D149" s="192"/>
      <c r="E149" s="192"/>
      <c r="F149" s="192"/>
      <c r="G149" s="192"/>
      <c r="H149" s="139"/>
    </row>
    <row r="150" spans="1:8" ht="48" customHeight="1">
      <c r="A150" s="206" t="s">
        <v>99</v>
      </c>
      <c r="B150" s="206"/>
      <c r="C150" s="206"/>
      <c r="D150" s="206"/>
      <c r="E150" s="206"/>
      <c r="F150" s="206"/>
      <c r="G150" s="206"/>
      <c r="H150" s="206"/>
    </row>
    <row r="152" spans="1:8">
      <c r="F152" s="205" t="str">
        <f>"Stand: 1/"&amp;Hilfe!B1&amp;""</f>
        <v>Stand: 1/2022</v>
      </c>
      <c r="G152" s="205"/>
    </row>
    <row r="153" spans="1:8" ht="15" customHeight="1">
      <c r="A153" s="204" t="s">
        <v>49</v>
      </c>
      <c r="B153" s="204"/>
      <c r="C153" s="204"/>
      <c r="D153" s="204"/>
      <c r="E153" s="204"/>
      <c r="F153" s="204"/>
      <c r="G153" s="204"/>
      <c r="H153" s="142"/>
    </row>
    <row r="154" spans="1:8" ht="33" customHeight="1">
      <c r="A154" s="204" t="s">
        <v>50</v>
      </c>
      <c r="B154" s="204"/>
      <c r="C154" s="204"/>
      <c r="D154" s="204"/>
      <c r="E154" s="204"/>
      <c r="F154" s="204"/>
      <c r="G154" s="204"/>
      <c r="H154" s="142"/>
    </row>
  </sheetData>
  <sheetProtection algorithmName="SHA-512" hashValue="IdkXU8rse5PNfNTIPgfuVaQjC5Q1zE8khtb1VdOFWfRQ0XeRSlv4ZcqFLSGgmO1y0g2mSEie+zxmxvOv3Uw61w==" saltValue="z+wak/qXd/k95/QR4oCJ3A==" spinCount="100000" sheet="1" objects="1" scenarios="1" selectLockedCells="1"/>
  <mergeCells count="105">
    <mergeCell ref="A83:G83"/>
    <mergeCell ref="A100:H100"/>
    <mergeCell ref="A138:G138"/>
    <mergeCell ref="C25:D25"/>
    <mergeCell ref="A149:G149"/>
    <mergeCell ref="E146:F146"/>
    <mergeCell ref="B146:D146"/>
    <mergeCell ref="B147:D147"/>
    <mergeCell ref="E147:F147"/>
    <mergeCell ref="E143:F143"/>
    <mergeCell ref="B143:D143"/>
    <mergeCell ref="E144:F144"/>
    <mergeCell ref="B144:D144"/>
    <mergeCell ref="C27:D27"/>
    <mergeCell ref="A28:B28"/>
    <mergeCell ref="C28:D28"/>
    <mergeCell ref="E27:F27"/>
    <mergeCell ref="A35:H35"/>
    <mergeCell ref="E28:F28"/>
    <mergeCell ref="A37:D37"/>
    <mergeCell ref="E37:H37"/>
    <mergeCell ref="A39:B39"/>
    <mergeCell ref="A40:B40"/>
    <mergeCell ref="A41:B41"/>
    <mergeCell ref="G11:H11"/>
    <mergeCell ref="E20:F20"/>
    <mergeCell ref="G20:H20"/>
    <mergeCell ref="A21:B21"/>
    <mergeCell ref="C21:D21"/>
    <mergeCell ref="E21:F21"/>
    <mergeCell ref="G21:H21"/>
    <mergeCell ref="A12:B12"/>
    <mergeCell ref="A15:H15"/>
    <mergeCell ref="A18:B18"/>
    <mergeCell ref="C17:D17"/>
    <mergeCell ref="E17:F17"/>
    <mergeCell ref="A13:B13"/>
    <mergeCell ref="A67:H67"/>
    <mergeCell ref="A68:H68"/>
    <mergeCell ref="E39:F39"/>
    <mergeCell ref="E40:F40"/>
    <mergeCell ref="E41:F41"/>
    <mergeCell ref="A29:B29"/>
    <mergeCell ref="B32:F32"/>
    <mergeCell ref="A6:H6"/>
    <mergeCell ref="A4:H4"/>
    <mergeCell ref="E8:F8"/>
    <mergeCell ref="E9:F9"/>
    <mergeCell ref="E10:F10"/>
    <mergeCell ref="A8:B8"/>
    <mergeCell ref="A9:B9"/>
    <mergeCell ref="A10:B10"/>
    <mergeCell ref="A11:B11"/>
    <mergeCell ref="E11:F12"/>
    <mergeCell ref="C8:D8"/>
    <mergeCell ref="C9:D9"/>
    <mergeCell ref="C10:D10"/>
    <mergeCell ref="G23:H24"/>
    <mergeCell ref="G17:H17"/>
    <mergeCell ref="E18:F18"/>
    <mergeCell ref="C18:D18"/>
    <mergeCell ref="A47:G47"/>
    <mergeCell ref="A48:H48"/>
    <mergeCell ref="A25:B25"/>
    <mergeCell ref="C24:D24"/>
    <mergeCell ref="E24:F24"/>
    <mergeCell ref="G27:H28"/>
    <mergeCell ref="A33:H33"/>
    <mergeCell ref="C30:D30"/>
    <mergeCell ref="A31:B31"/>
    <mergeCell ref="C31:D31"/>
    <mergeCell ref="E31:H31"/>
    <mergeCell ref="E25:F25"/>
    <mergeCell ref="C22:D22"/>
    <mergeCell ref="E22:F22"/>
    <mergeCell ref="G22:H22"/>
    <mergeCell ref="E42:F42"/>
    <mergeCell ref="A43:H43"/>
    <mergeCell ref="G18:H18"/>
    <mergeCell ref="A22:B22"/>
    <mergeCell ref="C20:D20"/>
    <mergeCell ref="B44:G45"/>
    <mergeCell ref="A84:H84"/>
    <mergeCell ref="A154:G154"/>
    <mergeCell ref="A153:G153"/>
    <mergeCell ref="F152:G152"/>
    <mergeCell ref="A101:H101"/>
    <mergeCell ref="A150:H150"/>
    <mergeCell ref="A140:H140"/>
    <mergeCell ref="A139:H139"/>
    <mergeCell ref="B142:F142"/>
    <mergeCell ref="A70:H70"/>
    <mergeCell ref="A72:H72"/>
    <mergeCell ref="A73:H73"/>
    <mergeCell ref="B74:F74"/>
    <mergeCell ref="D75:F75"/>
    <mergeCell ref="D76:F76"/>
    <mergeCell ref="D77:F77"/>
    <mergeCell ref="D78:F78"/>
    <mergeCell ref="D79:F79"/>
    <mergeCell ref="B75:C75"/>
    <mergeCell ref="B76:C76"/>
    <mergeCell ref="B77:C77"/>
    <mergeCell ref="B78:C78"/>
    <mergeCell ref="B79:C79"/>
  </mergeCells>
  <conditionalFormatting sqref="G18:H18">
    <cfRule type="cellIs" dxfId="11" priority="5" operator="lessThan">
      <formula>0</formula>
    </cfRule>
  </conditionalFormatting>
  <conditionalFormatting sqref="H39:H42">
    <cfRule type="cellIs" dxfId="10" priority="1" operator="greaterThan">
      <formula>0</formula>
    </cfRule>
    <cfRule type="cellIs" dxfId="9" priority="3" operator="lessThan">
      <formula>0</formula>
    </cfRule>
  </conditionalFormatting>
  <conditionalFormatting sqref="D39:D41">
    <cfRule type="cellIs" dxfId="8" priority="2" operator="lessThan">
      <formula>0</formula>
    </cfRule>
  </conditionalFormatting>
  <dataValidations count="4">
    <dataValidation type="whole" operator="greaterThanOrEqual" allowBlank="1" showInputMessage="1" showErrorMessage="1" errorTitle="Fehler" error="Bitte einen Wert &gt;30 eingeben." sqref="C10" xr:uid="{00000000-0002-0000-0000-000000000000}">
      <formula1>30</formula1>
    </dataValidation>
    <dataValidation type="whole" operator="greaterThan" allowBlank="1" showInputMessage="1" showErrorMessage="1" errorTitle="Fehler" error="Bitte geben Sie ein korrektes Einkommen ein." sqref="C8" xr:uid="{00000000-0002-0000-0000-000001000000}">
      <formula1>0</formula1>
    </dataValidation>
    <dataValidation type="decimal" operator="greaterThanOrEqual" allowBlank="1" showInputMessage="1" showErrorMessage="1" errorTitle="Fehler" error="Bitte keine negativen Gebühren eingeben." sqref="C25:F25 E28:F28" xr:uid="{00000000-0002-0000-0000-000002000000}">
      <formula1>0</formula1>
    </dataValidation>
    <dataValidation type="decimal" operator="greaterThanOrEqual" allowBlank="1" showInputMessage="1" showErrorMessage="1" errorTitle="Fehler" error="Bitte keinen negativen Freibetrag eingeben." sqref="C28:D28 C31:D31" xr:uid="{00000000-0002-0000-0000-000003000000}">
      <formula1>0</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macro="[0]!Grafik.Grafik">
                <anchor moveWithCells="1">
                  <from>
                    <xdr:col>2</xdr:col>
                    <xdr:colOff>0</xdr:colOff>
                    <xdr:row>10</xdr:row>
                    <xdr:rowOff>28575</xdr:rowOff>
                  </from>
                  <to>
                    <xdr:col>3</xdr:col>
                    <xdr:colOff>447675</xdr:colOff>
                    <xdr:row>11</xdr:row>
                    <xdr:rowOff>19050</xdr:rowOff>
                  </to>
                </anchor>
              </controlPr>
            </control>
          </mc:Choice>
        </mc:AlternateContent>
        <mc:AlternateContent xmlns:mc="http://schemas.openxmlformats.org/markup-compatibility/2006">
          <mc:Choice Requires="x14">
            <control shapeId="1026" r:id="rId5" name="Drop Down 2">
              <controlPr defaultSize="0" autoLine="0" autoPict="0" macro="[0]!Grafik.Grafik">
                <anchor moveWithCells="1">
                  <from>
                    <xdr:col>6</xdr:col>
                    <xdr:colOff>114300</xdr:colOff>
                    <xdr:row>7</xdr:row>
                    <xdr:rowOff>9525</xdr:rowOff>
                  </from>
                  <to>
                    <xdr:col>7</xdr:col>
                    <xdr:colOff>447675</xdr:colOff>
                    <xdr:row>8</xdr:row>
                    <xdr:rowOff>0</xdr:rowOff>
                  </to>
                </anchor>
              </controlPr>
            </control>
          </mc:Choice>
        </mc:AlternateContent>
        <mc:AlternateContent xmlns:mc="http://schemas.openxmlformats.org/markup-compatibility/2006">
          <mc:Choice Requires="x14">
            <control shapeId="1027" r:id="rId6" name="Drop Down 3">
              <controlPr defaultSize="0" autoLine="0" autoPict="0" macro="[0]!Grafik.Grafik">
                <anchor moveWithCells="1">
                  <from>
                    <xdr:col>6</xdr:col>
                    <xdr:colOff>114300</xdr:colOff>
                    <xdr:row>8</xdr:row>
                    <xdr:rowOff>38100</xdr:rowOff>
                  </from>
                  <to>
                    <xdr:col>7</xdr:col>
                    <xdr:colOff>447675</xdr:colOff>
                    <xdr:row>8</xdr:row>
                    <xdr:rowOff>209550</xdr:rowOff>
                  </to>
                </anchor>
              </controlPr>
            </control>
          </mc:Choice>
        </mc:AlternateContent>
        <mc:AlternateContent xmlns:mc="http://schemas.openxmlformats.org/markup-compatibility/2006">
          <mc:Choice Requires="x14">
            <control shapeId="1028" r:id="rId7" name="Drop Down 4">
              <controlPr defaultSize="0" autoLine="0" autoPict="0" macro="[0]!Grafik.Grafik">
                <anchor moveWithCells="1">
                  <from>
                    <xdr:col>6</xdr:col>
                    <xdr:colOff>114300</xdr:colOff>
                    <xdr:row>9</xdr:row>
                    <xdr:rowOff>19050</xdr:rowOff>
                  </from>
                  <to>
                    <xdr:col>7</xdr:col>
                    <xdr:colOff>447675</xdr:colOff>
                    <xdr:row>9</xdr:row>
                    <xdr:rowOff>190500</xdr:rowOff>
                  </to>
                </anchor>
              </controlPr>
            </control>
          </mc:Choice>
        </mc:AlternateContent>
        <mc:AlternateContent xmlns:mc="http://schemas.openxmlformats.org/markup-compatibility/2006">
          <mc:Choice Requires="x14">
            <control shapeId="1029" r:id="rId8" name="Drop Down 5">
              <controlPr defaultSize="0" autoLine="0" autoPict="0" macro="[0]!Grafik.Grafik">
                <anchor moveWithCells="1">
                  <from>
                    <xdr:col>2</xdr:col>
                    <xdr:colOff>9525</xdr:colOff>
                    <xdr:row>11</xdr:row>
                    <xdr:rowOff>28575</xdr:rowOff>
                  </from>
                  <to>
                    <xdr:col>3</xdr:col>
                    <xdr:colOff>457200</xdr:colOff>
                    <xdr:row>12</xdr:row>
                    <xdr:rowOff>19050</xdr:rowOff>
                  </to>
                </anchor>
              </controlPr>
            </control>
          </mc:Choice>
        </mc:AlternateContent>
        <mc:AlternateContent xmlns:mc="http://schemas.openxmlformats.org/markup-compatibility/2006">
          <mc:Choice Requires="x14">
            <control shapeId="1030" r:id="rId9" name="Drop Down 6">
              <controlPr defaultSize="0" autoLine="0" autoPict="0" macro="[0]!Grafik.Grafik">
                <anchor moveWithCells="1">
                  <from>
                    <xdr:col>2</xdr:col>
                    <xdr:colOff>0</xdr:colOff>
                    <xdr:row>8</xdr:row>
                    <xdr:rowOff>28575</xdr:rowOff>
                  </from>
                  <to>
                    <xdr:col>3</xdr:col>
                    <xdr:colOff>447675</xdr:colOff>
                    <xdr:row>8</xdr:row>
                    <xdr:rowOff>200025</xdr:rowOff>
                  </to>
                </anchor>
              </controlPr>
            </control>
          </mc:Choice>
        </mc:AlternateContent>
        <mc:AlternateContent xmlns:mc="http://schemas.openxmlformats.org/markup-compatibility/2006">
          <mc:Choice Requires="x14">
            <control shapeId="1032" r:id="rId10" name="Button 8">
              <controlPr defaultSize="0" print="0" autoFill="0" autoPict="0" macro="[0]!Grafik.Grafik">
                <anchor moveWithCells="1" sizeWithCells="1">
                  <from>
                    <xdr:col>5</xdr:col>
                    <xdr:colOff>419100</xdr:colOff>
                    <xdr:row>0</xdr:row>
                    <xdr:rowOff>95250</xdr:rowOff>
                  </from>
                  <to>
                    <xdr:col>7</xdr:col>
                    <xdr:colOff>352425</xdr:colOff>
                    <xdr:row>2</xdr:row>
                    <xdr:rowOff>171450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19050</xdr:colOff>
                    <xdr:row>12</xdr:row>
                    <xdr:rowOff>28575</xdr:rowOff>
                  </from>
                  <to>
                    <xdr:col>3</xdr:col>
                    <xdr:colOff>447675</xdr:colOff>
                    <xdr:row>12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5"/>
  <dimension ref="A1:G39"/>
  <sheetViews>
    <sheetView showGridLines="0" zoomScale="120" zoomScaleNormal="120" workbookViewId="0">
      <selection activeCell="J47" sqref="J47"/>
    </sheetView>
  </sheetViews>
  <sheetFormatPr baseColWidth="10" defaultRowHeight="15"/>
  <sheetData>
    <row r="1" spans="1:7" ht="69.75" customHeight="1">
      <c r="A1" s="231" t="str">
        <f ca="1">IF(Hilfe!B1=YEAR(TODAY()),"Steuerübersicht der 
Fonds-Direktanlage","Version ist ungültig!")</f>
        <v>Steuerübersicht der 
Fonds-Direktanlage</v>
      </c>
      <c r="B1" s="231"/>
      <c r="C1" s="231"/>
      <c r="D1" s="231"/>
      <c r="E1" s="231"/>
      <c r="F1" s="231"/>
      <c r="G1" s="231"/>
    </row>
    <row r="3" spans="1:7" ht="39.75" customHeight="1">
      <c r="A3" s="267" t="s">
        <v>157</v>
      </c>
      <c r="B3" s="267"/>
      <c r="C3" s="267"/>
      <c r="D3" s="267"/>
      <c r="E3" s="267"/>
      <c r="F3" s="267"/>
      <c r="G3" s="267"/>
    </row>
    <row r="5" spans="1:7">
      <c r="A5" s="189" t="str">
        <f>"Vorabpauschale bei dem diesjährigen Basiszins von "&amp;FIXED('Berechnung Ratierlich heute'!M1,4)*100&amp;"% p.a.."</f>
        <v>Vorabpauschale bei dem diesjährigen Basiszins von 0% p.a..</v>
      </c>
    </row>
    <row r="22" spans="1:7">
      <c r="A22" s="268" t="s">
        <v>158</v>
      </c>
      <c r="B22" s="268"/>
      <c r="C22" s="268"/>
      <c r="D22" s="268"/>
      <c r="E22" s="268"/>
      <c r="F22" s="268"/>
      <c r="G22" s="268"/>
    </row>
    <row r="39" spans="1:7">
      <c r="A39" s="268" t="str">
        <f>"Vorabpauschale bei dem diesjährigen Basiszins von "&amp;FIXED('Berechnung Ratierlich heute'!M1,4)*100&amp;"% p.a. und mit 2% p.a. und 4% p.a..."</f>
        <v>Vorabpauschale bei dem diesjährigen Basiszins von 0% p.a. und mit 2% p.a. und 4% p.a...</v>
      </c>
      <c r="B39" s="268"/>
      <c r="C39" s="268"/>
      <c r="D39" s="268"/>
      <c r="E39" s="268"/>
      <c r="F39" s="268"/>
      <c r="G39" s="268"/>
    </row>
  </sheetData>
  <sheetProtection algorithmName="SHA-512" hashValue="q5AAAkvz96HM5JUws5y3v515Sl8lcPP0uHSBP9dvW35RnZqEGXzmNNB905Onx2/0tNfFhGgqp7idP+cn+K3D5w==" saltValue="a8pyG6X6KNOnyts0ALfKag==" spinCount="100000" sheet="1" objects="1" scenarios="1" selectLockedCells="1"/>
  <mergeCells count="4">
    <mergeCell ref="A1:G1"/>
    <mergeCell ref="A3:G3"/>
    <mergeCell ref="A22:G22"/>
    <mergeCell ref="A39:G3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1"/>
  <sheetViews>
    <sheetView showGridLines="0" zoomScale="180" zoomScaleNormal="180" workbookViewId="0">
      <selection activeCell="I9" sqref="I9"/>
    </sheetView>
  </sheetViews>
  <sheetFormatPr baseColWidth="10" defaultRowHeight="15"/>
  <cols>
    <col min="1" max="1" width="11.42578125" style="178"/>
    <col min="2" max="3" width="11.42578125" style="39"/>
    <col min="4" max="4" width="11.42578125" style="179"/>
    <col min="6" max="6" width="11.42578125" style="187"/>
    <col min="7" max="7" width="11.42578125" style="93"/>
  </cols>
  <sheetData>
    <row r="1" spans="1:7">
      <c r="A1" s="2" t="s">
        <v>14</v>
      </c>
      <c r="B1" s="269" t="s">
        <v>155</v>
      </c>
      <c r="C1" s="269"/>
      <c r="D1" s="270" t="s">
        <v>155</v>
      </c>
      <c r="E1" s="271"/>
      <c r="F1" s="270" t="s">
        <v>155</v>
      </c>
      <c r="G1" s="271"/>
    </row>
    <row r="2" spans="1:7">
      <c r="A2" s="2"/>
      <c r="B2" s="269" t="s">
        <v>156</v>
      </c>
      <c r="C2" s="271"/>
      <c r="D2" s="272">
        <v>0.02</v>
      </c>
      <c r="E2" s="273"/>
      <c r="F2" s="272">
        <v>0.04</v>
      </c>
      <c r="G2" s="273"/>
    </row>
    <row r="3" spans="1:7">
      <c r="A3" s="178">
        <v>1</v>
      </c>
      <c r="B3" s="184">
        <f>MAX(0,IF(Hilfe!$B$3=3,'Berechnung EB heute'!K11-'Berechnung EB heute'!P11,'Berechnung Ratierlich heute'!K11-'Berechnung Ratierlich heute'!P11))</f>
        <v>0</v>
      </c>
      <c r="C3" s="184">
        <f>IF(Hilfe!$B$3=3,'Berechnung EB heute'!Q11,'Berechnung Ratierlich heute'!Q11)</f>
        <v>0</v>
      </c>
      <c r="D3" s="185">
        <f>MAX(0,IF(Hilfe!$B$3=3,'Berechnung EB 2%'!K11-'Berechnung EB 2%'!P11,'Berechnung Ratierlich 2%'!K11-'Berechnung Ratierlich 2%'!P11))</f>
        <v>255.91584158415836</v>
      </c>
      <c r="E3" s="184">
        <f>IF(Hilfe!$B$3=3,'Berechnung EB 2%'!Q11,'Berechnung Ratierlich 2%'!Q11)</f>
        <v>255.91584158415836</v>
      </c>
      <c r="F3" s="186">
        <f>MAX(0,IF(Hilfe!$B$3=3,'Berechnung EB 4%'!K11-'Berechnung EB 4%'!P11,'Berechnung Ratierlich 4%'!K11-'Berechnung Ratierlich 4%'!P11))</f>
        <v>511.83168316831672</v>
      </c>
      <c r="G3" s="188">
        <f>IF(Hilfe!$B$3=3,'Berechnung EB 4%'!Q11,'Berechnung Ratierlich 4%'!Q11)</f>
        <v>511.83168316831672</v>
      </c>
    </row>
    <row r="4" spans="1:7">
      <c r="A4" s="178">
        <v>2</v>
      </c>
      <c r="B4" s="184">
        <f>MAX(0,IF(Hilfe!$B$3=3,'Berechnung EB heute'!K12-'Berechnung EB heute'!P12,'Berechnung Ratierlich heute'!K12-'Berechnung Ratierlich heute'!P12))</f>
        <v>0</v>
      </c>
      <c r="C4" s="184">
        <f>IF(Hilfe!$B$3=3,'Berechnung EB heute'!Q12,'Berechnung Ratierlich heute'!Q12)</f>
        <v>0</v>
      </c>
      <c r="D4" s="185">
        <f>MAX(0,IF(Hilfe!$B$3=3,'Berechnung EB 2%'!K12-'Berechnung EB 2%'!P12,'Berechnung Ratierlich 2%'!K12-'Berechnung Ratierlich 2%'!P12))</f>
        <v>269.15215439727717</v>
      </c>
      <c r="E4" s="184">
        <f>IF(Hilfe!$B$3=3,'Berechnung EB 2%'!Q12,'Berechnung Ratierlich 2%'!Q12)</f>
        <v>269.15215439727717</v>
      </c>
      <c r="F4" s="186">
        <f>MAX(0,IF(Hilfe!$B$3=3,'Berechnung EB 4%'!K12-'Berechnung EB 4%'!P12,'Berechnung Ratierlich 4%'!K12-'Berechnung Ratierlich 4%'!P12))</f>
        <v>536.98135185148499</v>
      </c>
      <c r="G4" s="188">
        <f>IF(Hilfe!$B$3=3,'Berechnung EB 4%'!Q12,'Berechnung Ratierlich 4%'!Q12)</f>
        <v>536.98135185148499</v>
      </c>
    </row>
    <row r="5" spans="1:7">
      <c r="A5" s="178">
        <v>3</v>
      </c>
      <c r="B5" s="184">
        <f>MAX(0,IF(Hilfe!$B$3=3,'Berechnung EB heute'!K13-'Berechnung EB heute'!P13,'Berechnung Ratierlich heute'!K13-'Berechnung Ratierlich heute'!P13))</f>
        <v>0</v>
      </c>
      <c r="C5" s="184">
        <f>IF(Hilfe!$B$3=3,'Berechnung EB heute'!Q13,'Berechnung Ratierlich heute'!Q13)</f>
        <v>3258.863553770113</v>
      </c>
      <c r="D5" s="185">
        <f>MAX(0,IF(Hilfe!$B$3=3,'Berechnung EB 2%'!K13-'Berechnung EB 2%'!P13,'Berechnung Ratierlich 2%'!K13-'Berechnung Ratierlich 2%'!P13))</f>
        <v>323.51803538483409</v>
      </c>
      <c r="E5" s="184">
        <f>IF(Hilfe!$B$3=3,'Berechnung EB 2%'!Q13,'Berechnung Ratierlich 2%'!Q13)</f>
        <v>4325.470940699337</v>
      </c>
      <c r="F5" s="186">
        <f>MAX(0,IF(Hilfe!$B$3=3,'Berechnung EB 4%'!K13-'Berechnung EB 4%'!P13,'Berechnung Ratierlich 4%'!K13-'Berechnung Ratierlich 4%'!P13))</f>
        <v>643.85908137070282</v>
      </c>
      <c r="G5" s="188">
        <f>IF(Hilfe!$B$3=3,'Berechnung EB 4%'!Q13,'Berechnung Ratierlich 4%'!Q13)</f>
        <v>5384.6602978687115</v>
      </c>
    </row>
    <row r="6" spans="1:7">
      <c r="A6" s="178">
        <v>4</v>
      </c>
      <c r="B6" s="184">
        <f>MAX(0,IF(Hilfe!$B$3=3,'Berechnung EB heute'!K14-'Berechnung EB heute'!P14,'Berechnung Ratierlich heute'!K14-'Berechnung Ratierlich heute'!P14))</f>
        <v>0</v>
      </c>
      <c r="C6" s="184">
        <f>IF(Hilfe!$B$3=3,'Berechnung EB heute'!Q14,'Berechnung Ratierlich heute'!Q14)</f>
        <v>0</v>
      </c>
      <c r="D6" s="185">
        <f>MAX(0,IF(Hilfe!$B$3=3,'Berechnung EB 2%'!K14-'Berechnung EB 2%'!P14,'Berechnung Ratierlich 2%'!K14-'Berechnung Ratierlich 2%'!P14))</f>
        <v>325.02030799806766</v>
      </c>
      <c r="E6" s="184">
        <f>IF(Hilfe!$B$3=3,'Berechnung EB 2%'!Q14,'Berechnung Ratierlich 2%'!Q14)</f>
        <v>325.02030799806766</v>
      </c>
      <c r="F6" s="186">
        <f>MAX(0,IF(Hilfe!$B$3=3,'Berechnung EB 4%'!K14-'Berechnung EB 4%'!P14,'Berechnung Ratierlich 4%'!K14-'Berechnung Ratierlich 4%'!P14))</f>
        <v>640.52840754974045</v>
      </c>
      <c r="G6" s="188">
        <f>IF(Hilfe!$B$3=3,'Berechnung EB 4%'!Q14,'Berechnung Ratierlich 4%'!Q14)</f>
        <v>640.52840754974045</v>
      </c>
    </row>
    <row r="7" spans="1:7">
      <c r="A7" s="178">
        <v>5</v>
      </c>
      <c r="B7" s="184">
        <f>MAX(0,IF(Hilfe!$B$3=3,'Berechnung EB heute'!K15-'Berechnung EB heute'!P15,'Berechnung Ratierlich heute'!K15-'Berechnung Ratierlich heute'!P15))</f>
        <v>0</v>
      </c>
      <c r="C7" s="184">
        <f>IF(Hilfe!$B$3=3,'Berechnung EB heute'!Q15,'Berechnung Ratierlich heute'!Q15)</f>
        <v>0</v>
      </c>
      <c r="D7" s="185">
        <f>MAX(0,IF(Hilfe!$B$3=3,'Berechnung EB 2%'!K15-'Berechnung EB 2%'!P15,'Berechnung Ratierlich 2%'!K15-'Berechnung Ratierlich 2%'!P15))</f>
        <v>341.72360285573575</v>
      </c>
      <c r="E7" s="184">
        <f>IF(Hilfe!$B$3=3,'Berechnung EB 2%'!Q15,'Berechnung Ratierlich 2%'!Q15)</f>
        <v>341.72360285573575</v>
      </c>
      <c r="F7" s="186">
        <f>MAX(0,IF(Hilfe!$B$3=3,'Berechnung EB 4%'!K15-'Berechnung EB 4%'!P15,'Berechnung Ratierlich 4%'!K15-'Berechnung Ratierlich 4%'!P15))</f>
        <v>671.55065761090736</v>
      </c>
      <c r="G7" s="188">
        <f>IF(Hilfe!$B$3=3,'Berechnung EB 4%'!Q15,'Berechnung Ratierlich 4%'!Q15)</f>
        <v>671.55065761090736</v>
      </c>
    </row>
    <row r="8" spans="1:7">
      <c r="A8" s="178">
        <v>6</v>
      </c>
      <c r="B8" s="184">
        <f>MAX(0,IF(Hilfe!$B$3=3,'Berechnung EB heute'!K16-'Berechnung EB heute'!P16,'Berechnung Ratierlich heute'!K16-'Berechnung Ratierlich heute'!P16))</f>
        <v>0</v>
      </c>
      <c r="C8" s="184">
        <f>IF(Hilfe!$B$3=3,'Berechnung EB heute'!Q16,'Berechnung Ratierlich heute'!Q16)</f>
        <v>4202.0286436261231</v>
      </c>
      <c r="D8" s="185">
        <f>MAX(0,IF(Hilfe!$B$3=3,'Berechnung EB 2%'!K16-'Berechnung EB 2%'!P16,'Berechnung Ratierlich 2%'!K16-'Berechnung Ratierlich 2%'!P16))</f>
        <v>404.20262971024721</v>
      </c>
      <c r="E8" s="184">
        <f>IF(Hilfe!$B$3=3,'Berechnung EB 2%'!Q16,'Berechnung Ratierlich 2%'!Q16)</f>
        <v>5462.8914556734007</v>
      </c>
      <c r="F8" s="186">
        <f>MAX(0,IF(Hilfe!$B$3=3,'Berechnung EB 4%'!K16-'Berechnung EB 4%'!P16,'Berechnung Ratierlich 4%'!K16-'Berechnung Ratierlich 4%'!P16))</f>
        <v>792.097363459191</v>
      </c>
      <c r="G8" s="188">
        <f>IF(Hilfe!$B$3=3,'Berechnung EB 4%'!Q16,'Berechnung Ratierlich 4%'!Q16)</f>
        <v>6674.9641658340961</v>
      </c>
    </row>
    <row r="9" spans="1:7">
      <c r="A9" s="178">
        <v>7</v>
      </c>
      <c r="B9" s="184">
        <f>MAX(0,IF(Hilfe!$B$3=3,'Berechnung EB heute'!K17-'Berechnung EB heute'!P17,'Berechnung Ratierlich heute'!K17-'Berechnung Ratierlich heute'!P17))</f>
        <v>0</v>
      </c>
      <c r="C9" s="184">
        <f>IF(Hilfe!$B$3=3,'Berechnung EB heute'!Q17,'Berechnung Ratierlich heute'!Q17)</f>
        <v>0</v>
      </c>
      <c r="D9" s="185">
        <f>MAX(0,IF(Hilfe!$B$3=3,'Berechnung EB 2%'!K17-'Berechnung EB 2%'!P17,'Berechnung Ratierlich 2%'!K17-'Berechnung Ratierlich 2%'!P17))</f>
        <v>403.92535044070314</v>
      </c>
      <c r="E9" s="184">
        <f>IF(Hilfe!$B$3=3,'Berechnung EB 2%'!Q17,'Berechnung Ratierlich 2%'!Q17)</f>
        <v>403.92535044070314</v>
      </c>
      <c r="F9" s="186">
        <f>MAX(0,IF(Hilfe!$B$3=3,'Berechnung EB 4%'!K17-'Berechnung EB 4%'!P17,'Berechnung Ratierlich 4%'!K17-'Berechnung Ratierlich 4%'!P17))</f>
        <v>782.84814585280742</v>
      </c>
      <c r="G9" s="188">
        <f>IF(Hilfe!$B$3=3,'Berechnung EB 4%'!Q17,'Berechnung Ratierlich 4%'!Q17)</f>
        <v>782.84814585280742</v>
      </c>
    </row>
    <row r="10" spans="1:7">
      <c r="A10" s="178">
        <v>8</v>
      </c>
      <c r="B10" s="184">
        <f>MAX(0,IF(Hilfe!$B$3=3,'Berechnung EB heute'!K18-'Berechnung EB heute'!P18,'Berechnung Ratierlich heute'!K18-'Berechnung Ratierlich heute'!P18))</f>
        <v>0</v>
      </c>
      <c r="C10" s="184">
        <f>IF(Hilfe!$B$3=3,'Berechnung EB heute'!Q18,'Berechnung Ratierlich heute'!Q18)</f>
        <v>0</v>
      </c>
      <c r="D10" s="185">
        <f>MAX(0,IF(Hilfe!$B$3=3,'Berechnung EB 2%'!K18-'Berechnung EB 2%'!P18,'Berechnung Ratierlich 2%'!K18-'Berechnung Ratierlich 2%'!P18))</f>
        <v>424.54811543895761</v>
      </c>
      <c r="E10" s="184">
        <f>IF(Hilfe!$B$3=3,'Berechnung EB 2%'!Q18,'Berechnung Ratierlich 2%'!Q18)</f>
        <v>424.54811543895761</v>
      </c>
      <c r="F10" s="186">
        <f>MAX(0,IF(Hilfe!$B$3=3,'Berechnung EB 4%'!K18-'Berechnung EB 4%'!P18,'Berechnung Ratierlich 4%'!K18-'Berechnung Ratierlich 4%'!P18))</f>
        <v>820.20752572954518</v>
      </c>
      <c r="G10" s="188">
        <f>IF(Hilfe!$B$3=3,'Berechnung EB 4%'!Q18,'Berechnung Ratierlich 4%'!Q18)</f>
        <v>820.20752572954518</v>
      </c>
    </row>
    <row r="11" spans="1:7">
      <c r="A11" s="178">
        <v>9</v>
      </c>
      <c r="B11" s="184">
        <f>MAX(0,IF(Hilfe!$B$3=3,'Berechnung EB heute'!K19-'Berechnung EB heute'!P19,'Berechnung Ratierlich heute'!K19-'Berechnung Ratierlich heute'!P19))</f>
        <v>0</v>
      </c>
      <c r="C11" s="184">
        <f>IF(Hilfe!$B$3=3,'Berechnung EB heute'!Q19,'Berechnung Ratierlich heute'!Q19)</f>
        <v>5311.641224619455</v>
      </c>
      <c r="D11" s="185">
        <f>MAX(0,IF(Hilfe!$B$3=3,'Berechnung EB 2%'!K19-'Berechnung EB 2%'!P19,'Berechnung Ratierlich 2%'!K19-'Berechnung Ratierlich 2%'!P19))</f>
        <v>495.81156786537343</v>
      </c>
      <c r="E11" s="184">
        <f>IF(Hilfe!$B$3=3,'Berechnung EB 2%'!Q19,'Berechnung Ratierlich 2%'!Q19)</f>
        <v>6754.3026946720565</v>
      </c>
      <c r="F11" s="186">
        <f>MAX(0,IF(Hilfe!$B$3=3,'Berechnung EB 4%'!K19-'Berechnung EB 4%'!P19,'Berechnung Ratierlich 4%'!K19-'Berechnung Ratierlich 4%'!P19))</f>
        <v>954.8468384079888</v>
      </c>
      <c r="G11" s="188">
        <f>IF(Hilfe!$B$3=3,'Berechnung EB 4%'!Q19,'Berechnung Ratierlich 4%'!Q19)</f>
        <v>8086.8828479845433</v>
      </c>
    </row>
    <row r="12" spans="1:7">
      <c r="A12" s="178">
        <v>10</v>
      </c>
      <c r="B12" s="184">
        <f>MAX(0,IF(Hilfe!$B$3=3,'Berechnung EB heute'!K20-'Berechnung EB heute'!P20,'Berechnung Ratierlich heute'!K20-'Berechnung Ratierlich heute'!P20))</f>
        <v>0</v>
      </c>
      <c r="C12" s="184">
        <f>IF(Hilfe!$B$3=3,'Berechnung EB heute'!Q20,'Berechnung Ratierlich heute'!Q20)</f>
        <v>0</v>
      </c>
      <c r="D12" s="185">
        <f>MAX(0,IF(Hilfe!$B$3=3,'Berechnung EB 2%'!K20-'Berechnung EB 2%'!P20,'Berechnung Ratierlich 2%'!K20-'Berechnung Ratierlich 2%'!P20))</f>
        <v>492.84199043516065</v>
      </c>
      <c r="E12" s="184">
        <f>IF(Hilfe!$B$3=3,'Berechnung EB 2%'!Q20,'Berechnung Ratierlich 2%'!Q20)</f>
        <v>492.84199043516065</v>
      </c>
      <c r="F12" s="186">
        <f>MAX(0,IF(Hilfe!$B$3=3,'Berechnung EB 4%'!K20-'Berechnung EB 4%'!P20,'Berechnung Ratierlich 4%'!K20-'Berechnung Ratierlich 4%'!P20))</f>
        <v>937.5431554477392</v>
      </c>
      <c r="G12" s="188">
        <f>IF(Hilfe!$B$3=3,'Berechnung EB 4%'!Q20,'Berechnung Ratierlich 4%'!Q20)</f>
        <v>937.5431554477392</v>
      </c>
    </row>
    <row r="13" spans="1:7">
      <c r="A13" s="178">
        <v>11</v>
      </c>
      <c r="B13" s="184">
        <f>MAX(0,IF(Hilfe!$B$3=3,'Berechnung EB heute'!K21-'Berechnung EB heute'!P21,'Berechnung Ratierlich heute'!K21-'Berechnung Ratierlich heute'!P21))</f>
        <v>0</v>
      </c>
      <c r="C13" s="184">
        <f>IF(Hilfe!$B$3=3,'Berechnung EB heute'!Q21,'Berechnung Ratierlich heute'!Q21)</f>
        <v>0</v>
      </c>
      <c r="D13" s="185">
        <f>MAX(0,IF(Hilfe!$B$3=3,'Berechnung EB 2%'!K21-'Berechnung EB 2%'!P21,'Berechnung Ratierlich 2%'!K21-'Berechnung Ratierlich 2%'!P21))</f>
        <v>517.83662076228211</v>
      </c>
      <c r="E13" s="184">
        <f>IF(Hilfe!$B$3=3,'Berechnung EB 2%'!Q21,'Berechnung Ratierlich 2%'!Q21)</f>
        <v>517.83662076228211</v>
      </c>
      <c r="F13" s="186">
        <f>MAX(0,IF(Hilfe!$B$3=3,'Berechnung EB 4%'!K21-'Berechnung EB 4%'!P21,'Berechnung Ratierlich 4%'!K21-'Berechnung Ratierlich 4%'!P21))</f>
        <v>981.61499484774879</v>
      </c>
      <c r="G13" s="188">
        <f>IF(Hilfe!$B$3=3,'Berechnung EB 4%'!Q21,'Berechnung Ratierlich 4%'!Q21)</f>
        <v>981.61499484774879</v>
      </c>
    </row>
    <row r="14" spans="1:7">
      <c r="A14" s="178">
        <v>12</v>
      </c>
      <c r="B14" s="184">
        <f>MAX(0,IF(Hilfe!$B$3=3,'Berechnung EB heute'!K22-'Berechnung EB heute'!P22,'Berechnung Ratierlich heute'!K22-'Berechnung Ratierlich heute'!P22))</f>
        <v>0</v>
      </c>
      <c r="C14" s="184">
        <f>IF(Hilfe!$B$3=3,'Berechnung EB heute'!Q22,'Berechnung Ratierlich heute'!Q22)</f>
        <v>0</v>
      </c>
      <c r="D14" s="185">
        <f>MAX(0,IF(Hilfe!$B$3=3,'Berechnung EB 2%'!K22-'Berechnung EB 2%'!P22,'Berechnung Ratierlich 2%'!K22-'Berechnung Ratierlich 2%'!P22))</f>
        <v>544.10616469581419</v>
      </c>
      <c r="E14" s="184">
        <f>IF(Hilfe!$B$3=3,'Berechnung EB 2%'!Q22,'Berechnung Ratierlich 2%'!Q22)</f>
        <v>544.10616469581419</v>
      </c>
      <c r="F14" s="186">
        <f>MAX(0,IF(Hilfe!$B$3=3,'Berechnung EB 4%'!K22-'Berechnung EB 4%'!P22,'Berechnung Ratierlich 4%'!K22-'Berechnung Ratierlich 4%'!P22))</f>
        <v>1027.7720933289702</v>
      </c>
      <c r="G14" s="188">
        <f>IF(Hilfe!$B$3=3,'Berechnung EB 4%'!Q22,'Berechnung Ratierlich 4%'!Q22)</f>
        <v>1027.7720933289702</v>
      </c>
    </row>
    <row r="15" spans="1:7">
      <c r="A15" s="178">
        <v>13</v>
      </c>
      <c r="B15" s="184">
        <f>MAX(0,IF(Hilfe!$B$3=3,'Berechnung EB heute'!K23-'Berechnung EB heute'!P23,'Berechnung Ratierlich heute'!K23-'Berechnung Ratierlich heute'!P23))</f>
        <v>0</v>
      </c>
      <c r="C15" s="184">
        <f>IF(Hilfe!$B$3=3,'Berechnung EB heute'!Q23,'Berechnung Ratierlich heute'!Q23)</f>
        <v>0</v>
      </c>
      <c r="D15" s="185">
        <f>MAX(0,IF(Hilfe!$B$3=3,'Berechnung EB 2%'!K23-'Berechnung EB 2%'!P23,'Berechnung Ratierlich 2%'!K23-'Berechnung Ratierlich 2%'!P23))</f>
        <v>0</v>
      </c>
      <c r="E15" s="184">
        <f>IF(Hilfe!$B$3=3,'Berechnung EB 2%'!Q23,'Berechnung Ratierlich 2%'!Q23)</f>
        <v>0</v>
      </c>
      <c r="F15" s="186">
        <f>MAX(0,IF(Hilfe!$B$3=3,'Berechnung EB 4%'!K23-'Berechnung EB 4%'!P23,'Berechnung Ratierlich 4%'!K23-'Berechnung Ratierlich 4%'!P23))</f>
        <v>0</v>
      </c>
      <c r="G15" s="188">
        <f>IF(Hilfe!$B$3=3,'Berechnung EB 4%'!Q23,'Berechnung Ratierlich 4%'!Q23)</f>
        <v>0</v>
      </c>
    </row>
    <row r="16" spans="1:7">
      <c r="A16" s="178">
        <v>14</v>
      </c>
      <c r="B16" s="184">
        <f>MAX(0,IF(Hilfe!$B$3=3,'Berechnung EB heute'!K24-'Berechnung EB heute'!P24,'Berechnung Ratierlich heute'!K24-'Berechnung Ratierlich heute'!P24))</f>
        <v>0</v>
      </c>
      <c r="C16" s="184">
        <f>IF(Hilfe!$B$3=3,'Berechnung EB heute'!Q24,'Berechnung Ratierlich heute'!Q24)</f>
        <v>0</v>
      </c>
      <c r="D16" s="185">
        <f>MAX(0,IF(Hilfe!$B$3=3,'Berechnung EB 2%'!K24-'Berechnung EB 2%'!P24,'Berechnung Ratierlich 2%'!K24-'Berechnung Ratierlich 2%'!P24))</f>
        <v>0</v>
      </c>
      <c r="E16" s="184">
        <f>IF(Hilfe!$B$3=3,'Berechnung EB 2%'!Q24,'Berechnung Ratierlich 2%'!Q24)</f>
        <v>0</v>
      </c>
      <c r="F16" s="186">
        <f>MAX(0,IF(Hilfe!$B$3=3,'Berechnung EB 4%'!K24-'Berechnung EB 4%'!P24,'Berechnung Ratierlich 4%'!K24-'Berechnung Ratierlich 4%'!P24))</f>
        <v>0</v>
      </c>
      <c r="G16" s="188">
        <f>IF(Hilfe!$B$3=3,'Berechnung EB 4%'!Q24,'Berechnung Ratierlich 4%'!Q24)</f>
        <v>0</v>
      </c>
    </row>
    <row r="17" spans="1:7">
      <c r="A17" s="178">
        <v>15</v>
      </c>
      <c r="B17" s="184">
        <f>MAX(0,IF(Hilfe!$B$3=3,'Berechnung EB heute'!K25-'Berechnung EB heute'!P25,'Berechnung Ratierlich heute'!K25-'Berechnung Ratierlich heute'!P25))</f>
        <v>0</v>
      </c>
      <c r="C17" s="184">
        <f>IF(Hilfe!$B$3=3,'Berechnung EB heute'!Q25,'Berechnung Ratierlich heute'!Q25)</f>
        <v>0</v>
      </c>
      <c r="D17" s="185">
        <f>MAX(0,IF(Hilfe!$B$3=3,'Berechnung EB 2%'!K25-'Berechnung EB 2%'!P25,'Berechnung Ratierlich 2%'!K25-'Berechnung Ratierlich 2%'!P25))</f>
        <v>0</v>
      </c>
      <c r="E17" s="184">
        <f>IF(Hilfe!$B$3=3,'Berechnung EB 2%'!Q25,'Berechnung Ratierlich 2%'!Q25)</f>
        <v>0</v>
      </c>
      <c r="F17" s="186">
        <f>MAX(0,IF(Hilfe!$B$3=3,'Berechnung EB 4%'!K25-'Berechnung EB 4%'!P25,'Berechnung Ratierlich 4%'!K25-'Berechnung Ratierlich 4%'!P25))</f>
        <v>0</v>
      </c>
      <c r="G17" s="188">
        <f>IF(Hilfe!$B$3=3,'Berechnung EB 4%'!Q25,'Berechnung Ratierlich 4%'!Q25)</f>
        <v>0</v>
      </c>
    </row>
    <row r="18" spans="1:7">
      <c r="A18" s="178">
        <v>16</v>
      </c>
      <c r="B18" s="184">
        <f>MAX(0,IF(Hilfe!$B$3=3,'Berechnung EB heute'!K26-'Berechnung EB heute'!P26,'Berechnung Ratierlich heute'!K26-'Berechnung Ratierlich heute'!P26))</f>
        <v>0</v>
      </c>
      <c r="C18" s="184">
        <f>IF(Hilfe!$B$3=3,'Berechnung EB heute'!Q26,'Berechnung Ratierlich heute'!Q26)</f>
        <v>0</v>
      </c>
      <c r="D18" s="185">
        <f>MAX(0,IF(Hilfe!$B$3=3,'Berechnung EB 2%'!K26-'Berechnung EB 2%'!P26,'Berechnung Ratierlich 2%'!K26-'Berechnung Ratierlich 2%'!P26))</f>
        <v>0</v>
      </c>
      <c r="E18" s="184">
        <f>IF(Hilfe!$B$3=3,'Berechnung EB 2%'!Q26,'Berechnung Ratierlich 2%'!Q26)</f>
        <v>0</v>
      </c>
      <c r="F18" s="186">
        <f>MAX(0,IF(Hilfe!$B$3=3,'Berechnung EB 4%'!K26-'Berechnung EB 4%'!P26,'Berechnung Ratierlich 4%'!K26-'Berechnung Ratierlich 4%'!P26))</f>
        <v>0</v>
      </c>
      <c r="G18" s="188">
        <f>IF(Hilfe!$B$3=3,'Berechnung EB 4%'!Q26,'Berechnung Ratierlich 4%'!Q26)</f>
        <v>0</v>
      </c>
    </row>
    <row r="19" spans="1:7">
      <c r="A19" s="178">
        <v>17</v>
      </c>
      <c r="B19" s="184">
        <f>MAX(0,IF(Hilfe!$B$3=3,'Berechnung EB heute'!K27-'Berechnung EB heute'!P27,'Berechnung Ratierlich heute'!K27-'Berechnung Ratierlich heute'!P27))</f>
        <v>0</v>
      </c>
      <c r="C19" s="184">
        <f>IF(Hilfe!$B$3=3,'Berechnung EB heute'!Q27,'Berechnung Ratierlich heute'!Q27)</f>
        <v>0</v>
      </c>
      <c r="D19" s="185">
        <f>MAX(0,IF(Hilfe!$B$3=3,'Berechnung EB 2%'!K27-'Berechnung EB 2%'!P27,'Berechnung Ratierlich 2%'!K27-'Berechnung Ratierlich 2%'!P27))</f>
        <v>0</v>
      </c>
      <c r="E19" s="184">
        <f>IF(Hilfe!$B$3=3,'Berechnung EB 2%'!Q27,'Berechnung Ratierlich 2%'!Q27)</f>
        <v>0</v>
      </c>
      <c r="F19" s="186">
        <f>MAX(0,IF(Hilfe!$B$3=3,'Berechnung EB 4%'!K27-'Berechnung EB 4%'!P27,'Berechnung Ratierlich 4%'!K27-'Berechnung Ratierlich 4%'!P27))</f>
        <v>0</v>
      </c>
      <c r="G19" s="188">
        <f>IF(Hilfe!$B$3=3,'Berechnung EB 4%'!Q27,'Berechnung Ratierlich 4%'!Q27)</f>
        <v>0</v>
      </c>
    </row>
    <row r="20" spans="1:7">
      <c r="A20" s="178">
        <v>18</v>
      </c>
      <c r="B20" s="184">
        <f>MAX(0,IF(Hilfe!$B$3=3,'Berechnung EB heute'!K28-'Berechnung EB heute'!P28,'Berechnung Ratierlich heute'!K28-'Berechnung Ratierlich heute'!P28))</f>
        <v>0</v>
      </c>
      <c r="C20" s="184">
        <f>IF(Hilfe!$B$3=3,'Berechnung EB heute'!Q28,'Berechnung Ratierlich heute'!Q28)</f>
        <v>0</v>
      </c>
      <c r="D20" s="185">
        <f>MAX(0,IF(Hilfe!$B$3=3,'Berechnung EB 2%'!K28-'Berechnung EB 2%'!P28,'Berechnung Ratierlich 2%'!K28-'Berechnung Ratierlich 2%'!P28))</f>
        <v>0</v>
      </c>
      <c r="E20" s="184">
        <f>IF(Hilfe!$B$3=3,'Berechnung EB 2%'!Q28,'Berechnung Ratierlich 2%'!Q28)</f>
        <v>0</v>
      </c>
      <c r="F20" s="186">
        <f>MAX(0,IF(Hilfe!$B$3=3,'Berechnung EB 4%'!K28-'Berechnung EB 4%'!P28,'Berechnung Ratierlich 4%'!K28-'Berechnung Ratierlich 4%'!P28))</f>
        <v>0</v>
      </c>
      <c r="G20" s="188">
        <f>IF(Hilfe!$B$3=3,'Berechnung EB 4%'!Q28,'Berechnung Ratierlich 4%'!Q28)</f>
        <v>0</v>
      </c>
    </row>
    <row r="21" spans="1:7">
      <c r="A21" s="178">
        <v>19</v>
      </c>
      <c r="B21" s="184">
        <f>MAX(0,IF(Hilfe!$B$3=3,'Berechnung EB heute'!K29-'Berechnung EB heute'!P29,'Berechnung Ratierlich heute'!K29-'Berechnung Ratierlich heute'!P29))</f>
        <v>0</v>
      </c>
      <c r="C21" s="184">
        <f>IF(Hilfe!$B$3=3,'Berechnung EB heute'!Q29,'Berechnung Ratierlich heute'!Q29)</f>
        <v>0</v>
      </c>
      <c r="D21" s="185">
        <f>MAX(0,IF(Hilfe!$B$3=3,'Berechnung EB 2%'!K29-'Berechnung EB 2%'!P29,'Berechnung Ratierlich 2%'!K29-'Berechnung Ratierlich 2%'!P29))</f>
        <v>0</v>
      </c>
      <c r="E21" s="184">
        <f>IF(Hilfe!$B$3=3,'Berechnung EB 2%'!Q29,'Berechnung Ratierlich 2%'!Q29)</f>
        <v>0</v>
      </c>
      <c r="F21" s="186">
        <f>MAX(0,IF(Hilfe!$B$3=3,'Berechnung EB 4%'!K29-'Berechnung EB 4%'!P29,'Berechnung Ratierlich 4%'!K29-'Berechnung Ratierlich 4%'!P29))</f>
        <v>0</v>
      </c>
      <c r="G21" s="188">
        <f>IF(Hilfe!$B$3=3,'Berechnung EB 4%'!Q29,'Berechnung Ratierlich 4%'!Q29)</f>
        <v>0</v>
      </c>
    </row>
    <row r="22" spans="1:7">
      <c r="A22" s="178">
        <v>20</v>
      </c>
      <c r="B22" s="184">
        <f>MAX(0,IF(Hilfe!$B$3=3,'Berechnung EB heute'!K30-'Berechnung EB heute'!P30,'Berechnung Ratierlich heute'!K30-'Berechnung Ratierlich heute'!P30))</f>
        <v>0</v>
      </c>
      <c r="C22" s="184">
        <f>IF(Hilfe!$B$3=3,'Berechnung EB heute'!Q30,'Berechnung Ratierlich heute'!Q30)</f>
        <v>0</v>
      </c>
      <c r="D22" s="185">
        <f>MAX(0,IF(Hilfe!$B$3=3,'Berechnung EB 2%'!K30-'Berechnung EB 2%'!P30,'Berechnung Ratierlich 2%'!K30-'Berechnung Ratierlich 2%'!P30))</f>
        <v>0</v>
      </c>
      <c r="E22" s="184">
        <f>IF(Hilfe!$B$3=3,'Berechnung EB 2%'!Q30,'Berechnung Ratierlich 2%'!Q30)</f>
        <v>0</v>
      </c>
      <c r="F22" s="186">
        <f>MAX(0,IF(Hilfe!$B$3=3,'Berechnung EB 4%'!K30-'Berechnung EB 4%'!P30,'Berechnung Ratierlich 4%'!K30-'Berechnung Ratierlich 4%'!P30))</f>
        <v>0</v>
      </c>
      <c r="G22" s="188">
        <f>IF(Hilfe!$B$3=3,'Berechnung EB 4%'!Q30,'Berechnung Ratierlich 4%'!Q30)</f>
        <v>0</v>
      </c>
    </row>
    <row r="23" spans="1:7">
      <c r="A23" s="178">
        <v>21</v>
      </c>
      <c r="B23" s="184">
        <f>MAX(0,IF(Hilfe!$B$3=3,'Berechnung EB heute'!K31-'Berechnung EB heute'!P31,'Berechnung Ratierlich heute'!K31-'Berechnung Ratierlich heute'!P31))</f>
        <v>0</v>
      </c>
      <c r="C23" s="184">
        <f>IF(Hilfe!$B$3=3,'Berechnung EB heute'!Q31,'Berechnung Ratierlich heute'!Q31)</f>
        <v>0</v>
      </c>
      <c r="D23" s="185">
        <f>MAX(0,IF(Hilfe!$B$3=3,'Berechnung EB 2%'!K31-'Berechnung EB 2%'!P31,'Berechnung Ratierlich 2%'!K31-'Berechnung Ratierlich 2%'!P31))</f>
        <v>0</v>
      </c>
      <c r="E23" s="184">
        <f>IF(Hilfe!$B$3=3,'Berechnung EB 2%'!Q31,'Berechnung Ratierlich 2%'!Q31)</f>
        <v>0</v>
      </c>
      <c r="F23" s="186">
        <f>MAX(0,IF(Hilfe!$B$3=3,'Berechnung EB 4%'!K31-'Berechnung EB 4%'!P31,'Berechnung Ratierlich 4%'!K31-'Berechnung Ratierlich 4%'!P31))</f>
        <v>0</v>
      </c>
      <c r="G23" s="188">
        <f>IF(Hilfe!$B$3=3,'Berechnung EB 4%'!Q31,'Berechnung Ratierlich 4%'!Q31)</f>
        <v>0</v>
      </c>
    </row>
    <row r="24" spans="1:7">
      <c r="A24" s="178">
        <v>22</v>
      </c>
      <c r="B24" s="184">
        <f>MAX(0,IF(Hilfe!$B$3=3,'Berechnung EB heute'!K32-'Berechnung EB heute'!P32,'Berechnung Ratierlich heute'!K32-'Berechnung Ratierlich heute'!P32))</f>
        <v>0</v>
      </c>
      <c r="C24" s="184">
        <f>IF(Hilfe!$B$3=3,'Berechnung EB heute'!Q32,'Berechnung Ratierlich heute'!Q32)</f>
        <v>0</v>
      </c>
      <c r="D24" s="185">
        <f>MAX(0,IF(Hilfe!$B$3=3,'Berechnung EB 2%'!K32-'Berechnung EB 2%'!P32,'Berechnung Ratierlich 2%'!K32-'Berechnung Ratierlich 2%'!P32))</f>
        <v>0</v>
      </c>
      <c r="E24" s="184">
        <f>IF(Hilfe!$B$3=3,'Berechnung EB 2%'!Q32,'Berechnung Ratierlich 2%'!Q32)</f>
        <v>0</v>
      </c>
      <c r="F24" s="186">
        <f>MAX(0,IF(Hilfe!$B$3=3,'Berechnung EB 4%'!K32-'Berechnung EB 4%'!P32,'Berechnung Ratierlich 4%'!K32-'Berechnung Ratierlich 4%'!P32))</f>
        <v>0</v>
      </c>
      <c r="G24" s="188">
        <f>IF(Hilfe!$B$3=3,'Berechnung EB 4%'!Q32,'Berechnung Ratierlich 4%'!Q32)</f>
        <v>0</v>
      </c>
    </row>
    <row r="25" spans="1:7">
      <c r="A25" s="178">
        <v>23</v>
      </c>
      <c r="B25" s="184">
        <f>MAX(0,IF(Hilfe!$B$3=3,'Berechnung EB heute'!K33-'Berechnung EB heute'!P33,'Berechnung Ratierlich heute'!K33-'Berechnung Ratierlich heute'!P33))</f>
        <v>0</v>
      </c>
      <c r="C25" s="184">
        <f>IF(Hilfe!$B$3=3,'Berechnung EB heute'!Q33,'Berechnung Ratierlich heute'!Q33)</f>
        <v>0</v>
      </c>
      <c r="D25" s="185">
        <f>MAX(0,IF(Hilfe!$B$3=3,'Berechnung EB 2%'!K33-'Berechnung EB 2%'!P33,'Berechnung Ratierlich 2%'!K33-'Berechnung Ratierlich 2%'!P33))</f>
        <v>0</v>
      </c>
      <c r="E25" s="184">
        <f>IF(Hilfe!$B$3=3,'Berechnung EB 2%'!Q33,'Berechnung Ratierlich 2%'!Q33)</f>
        <v>0</v>
      </c>
      <c r="F25" s="186">
        <f>MAX(0,IF(Hilfe!$B$3=3,'Berechnung EB 4%'!K33-'Berechnung EB 4%'!P33,'Berechnung Ratierlich 4%'!K33-'Berechnung Ratierlich 4%'!P33))</f>
        <v>0</v>
      </c>
      <c r="G25" s="188">
        <f>IF(Hilfe!$B$3=3,'Berechnung EB 4%'!Q33,'Berechnung Ratierlich 4%'!Q33)</f>
        <v>0</v>
      </c>
    </row>
    <row r="26" spans="1:7">
      <c r="A26" s="178">
        <v>24</v>
      </c>
      <c r="B26" s="184">
        <f>MAX(0,IF(Hilfe!$B$3=3,'Berechnung EB heute'!K34-'Berechnung EB heute'!P34,'Berechnung Ratierlich heute'!K34-'Berechnung Ratierlich heute'!P34))</f>
        <v>0</v>
      </c>
      <c r="C26" s="184">
        <f>IF(Hilfe!$B$3=3,'Berechnung EB heute'!Q34,'Berechnung Ratierlich heute'!Q34)</f>
        <v>0</v>
      </c>
      <c r="D26" s="185">
        <f>MAX(0,IF(Hilfe!$B$3=3,'Berechnung EB 2%'!K34-'Berechnung EB 2%'!P34,'Berechnung Ratierlich 2%'!K34-'Berechnung Ratierlich 2%'!P34))</f>
        <v>0</v>
      </c>
      <c r="E26" s="184">
        <f>IF(Hilfe!$B$3=3,'Berechnung EB 2%'!Q34,'Berechnung Ratierlich 2%'!Q34)</f>
        <v>0</v>
      </c>
      <c r="F26" s="186">
        <f>MAX(0,IF(Hilfe!$B$3=3,'Berechnung EB 4%'!K34-'Berechnung EB 4%'!P34,'Berechnung Ratierlich 4%'!K34-'Berechnung Ratierlich 4%'!P34))</f>
        <v>0</v>
      </c>
      <c r="G26" s="188">
        <f>IF(Hilfe!$B$3=3,'Berechnung EB 4%'!Q34,'Berechnung Ratierlich 4%'!Q34)</f>
        <v>0</v>
      </c>
    </row>
    <row r="27" spans="1:7">
      <c r="A27" s="178">
        <v>25</v>
      </c>
      <c r="B27" s="184">
        <f>MAX(0,IF(Hilfe!$B$3=3,'Berechnung EB heute'!K35-'Berechnung EB heute'!P35,'Berechnung Ratierlich heute'!K35-'Berechnung Ratierlich heute'!P35))</f>
        <v>0</v>
      </c>
      <c r="C27" s="184">
        <f>IF(Hilfe!$B$3=3,'Berechnung EB heute'!Q35,'Berechnung Ratierlich heute'!Q35)</f>
        <v>0</v>
      </c>
      <c r="D27" s="185">
        <f>MAX(0,IF(Hilfe!$B$3=3,'Berechnung EB 2%'!K35-'Berechnung EB 2%'!P35,'Berechnung Ratierlich 2%'!K35-'Berechnung Ratierlich 2%'!P35))</f>
        <v>0</v>
      </c>
      <c r="E27" s="184">
        <f>IF(Hilfe!$B$3=3,'Berechnung EB 2%'!Q35,'Berechnung Ratierlich 2%'!Q35)</f>
        <v>0</v>
      </c>
      <c r="F27" s="186">
        <f>MAX(0,IF(Hilfe!$B$3=3,'Berechnung EB 4%'!K35-'Berechnung EB 4%'!P35,'Berechnung Ratierlich 4%'!K35-'Berechnung Ratierlich 4%'!P35))</f>
        <v>0</v>
      </c>
      <c r="G27" s="188">
        <f>IF(Hilfe!$B$3=3,'Berechnung EB 4%'!Q35,'Berechnung Ratierlich 4%'!Q35)</f>
        <v>0</v>
      </c>
    </row>
    <row r="28" spans="1:7">
      <c r="A28" s="178">
        <v>26</v>
      </c>
      <c r="B28" s="184">
        <f>MAX(0,IF(Hilfe!$B$3=3,'Berechnung EB heute'!K36-'Berechnung EB heute'!P36,'Berechnung Ratierlich heute'!K36-'Berechnung Ratierlich heute'!P36))</f>
        <v>0</v>
      </c>
      <c r="C28" s="184">
        <f>IF(Hilfe!$B$3=3,'Berechnung EB heute'!Q36,'Berechnung Ratierlich heute'!Q36)</f>
        <v>0</v>
      </c>
      <c r="D28" s="185">
        <f>MAX(0,IF(Hilfe!$B$3=3,'Berechnung EB 2%'!K36-'Berechnung EB 2%'!P36,'Berechnung Ratierlich 2%'!K36-'Berechnung Ratierlich 2%'!P36))</f>
        <v>0</v>
      </c>
      <c r="E28" s="184">
        <f>IF(Hilfe!$B$3=3,'Berechnung EB 2%'!Q36,'Berechnung Ratierlich 2%'!Q36)</f>
        <v>0</v>
      </c>
      <c r="F28" s="186">
        <f>MAX(0,IF(Hilfe!$B$3=3,'Berechnung EB 4%'!K36-'Berechnung EB 4%'!P36,'Berechnung Ratierlich 4%'!K36-'Berechnung Ratierlich 4%'!P36))</f>
        <v>0</v>
      </c>
      <c r="G28" s="188">
        <f>IF(Hilfe!$B$3=3,'Berechnung EB 4%'!Q36,'Berechnung Ratierlich 4%'!Q36)</f>
        <v>0</v>
      </c>
    </row>
    <row r="29" spans="1:7">
      <c r="A29" s="178">
        <v>27</v>
      </c>
      <c r="B29" s="184">
        <f>MAX(0,IF(Hilfe!$B$3=3,'Berechnung EB heute'!K37-'Berechnung EB heute'!P37,'Berechnung Ratierlich heute'!K37-'Berechnung Ratierlich heute'!P37))</f>
        <v>0</v>
      </c>
      <c r="C29" s="184">
        <f>IF(Hilfe!$B$3=3,'Berechnung EB heute'!Q37,'Berechnung Ratierlich heute'!Q37)</f>
        <v>0</v>
      </c>
      <c r="D29" s="185">
        <f>MAX(0,IF(Hilfe!$B$3=3,'Berechnung EB 2%'!K37-'Berechnung EB 2%'!P37,'Berechnung Ratierlich 2%'!K37-'Berechnung Ratierlich 2%'!P37))</f>
        <v>0</v>
      </c>
      <c r="E29" s="184">
        <f>IF(Hilfe!$B$3=3,'Berechnung EB 2%'!Q37,'Berechnung Ratierlich 2%'!Q37)</f>
        <v>0</v>
      </c>
      <c r="F29" s="186">
        <f>MAX(0,IF(Hilfe!$B$3=3,'Berechnung EB 4%'!K37-'Berechnung EB 4%'!P37,'Berechnung Ratierlich 4%'!K37-'Berechnung Ratierlich 4%'!P37))</f>
        <v>0</v>
      </c>
      <c r="G29" s="188">
        <f>IF(Hilfe!$B$3=3,'Berechnung EB 4%'!Q37,'Berechnung Ratierlich 4%'!Q37)</f>
        <v>0</v>
      </c>
    </row>
    <row r="30" spans="1:7">
      <c r="A30" s="178">
        <v>28</v>
      </c>
      <c r="B30" s="184">
        <f>MAX(0,IF(Hilfe!$B$3=3,'Berechnung EB heute'!K38-'Berechnung EB heute'!P38,'Berechnung Ratierlich heute'!K38-'Berechnung Ratierlich heute'!P38))</f>
        <v>0</v>
      </c>
      <c r="C30" s="184">
        <f>IF(Hilfe!$B$3=3,'Berechnung EB heute'!Q38,'Berechnung Ratierlich heute'!Q38)</f>
        <v>0</v>
      </c>
      <c r="D30" s="185">
        <f>MAX(0,IF(Hilfe!$B$3=3,'Berechnung EB 2%'!K38-'Berechnung EB 2%'!P38,'Berechnung Ratierlich 2%'!K38-'Berechnung Ratierlich 2%'!P38))</f>
        <v>0</v>
      </c>
      <c r="E30" s="184">
        <f>IF(Hilfe!$B$3=3,'Berechnung EB 2%'!Q38,'Berechnung Ratierlich 2%'!Q38)</f>
        <v>0</v>
      </c>
      <c r="F30" s="186">
        <f>MAX(0,IF(Hilfe!$B$3=3,'Berechnung EB 4%'!K38-'Berechnung EB 4%'!P38,'Berechnung Ratierlich 4%'!K38-'Berechnung Ratierlich 4%'!P38))</f>
        <v>0</v>
      </c>
      <c r="G30" s="188">
        <f>IF(Hilfe!$B$3=3,'Berechnung EB 4%'!Q38,'Berechnung Ratierlich 4%'!Q38)</f>
        <v>0</v>
      </c>
    </row>
    <row r="31" spans="1:7">
      <c r="A31" s="178">
        <v>29</v>
      </c>
      <c r="B31" s="184">
        <f>MAX(0,IF(Hilfe!$B$3=3,'Berechnung EB heute'!K39-'Berechnung EB heute'!P39,'Berechnung Ratierlich heute'!K39-'Berechnung Ratierlich heute'!P39))</f>
        <v>0</v>
      </c>
      <c r="C31" s="184">
        <f>IF(Hilfe!$B$3=3,'Berechnung EB heute'!Q39,'Berechnung Ratierlich heute'!Q39)</f>
        <v>0</v>
      </c>
      <c r="D31" s="185">
        <f>MAX(0,IF(Hilfe!$B$3=3,'Berechnung EB 2%'!K39-'Berechnung EB 2%'!P39,'Berechnung Ratierlich 2%'!K39-'Berechnung Ratierlich 2%'!P39))</f>
        <v>0</v>
      </c>
      <c r="E31" s="184">
        <f>IF(Hilfe!$B$3=3,'Berechnung EB 2%'!Q39,'Berechnung Ratierlich 2%'!Q39)</f>
        <v>0</v>
      </c>
      <c r="F31" s="186">
        <f>MAX(0,IF(Hilfe!$B$3=3,'Berechnung EB 4%'!K39-'Berechnung EB 4%'!P39,'Berechnung Ratierlich 4%'!K39-'Berechnung Ratierlich 4%'!P39))</f>
        <v>0</v>
      </c>
      <c r="G31" s="188">
        <f>IF(Hilfe!$B$3=3,'Berechnung EB 4%'!Q39,'Berechnung Ratierlich 4%'!Q39)</f>
        <v>0</v>
      </c>
    </row>
    <row r="32" spans="1:7">
      <c r="A32" s="178">
        <v>30</v>
      </c>
      <c r="B32" s="184">
        <f>MAX(0,IF(Hilfe!$B$3=3,'Berechnung EB heute'!K40-'Berechnung EB heute'!P40,'Berechnung Ratierlich heute'!K40-'Berechnung Ratierlich heute'!P40))</f>
        <v>0</v>
      </c>
      <c r="C32" s="184">
        <f>IF(Hilfe!$B$3=3,'Berechnung EB heute'!Q40,'Berechnung Ratierlich heute'!Q40)</f>
        <v>0</v>
      </c>
      <c r="D32" s="185">
        <f>MAX(0,IF(Hilfe!$B$3=3,'Berechnung EB 2%'!K40-'Berechnung EB 2%'!P40,'Berechnung Ratierlich 2%'!K40-'Berechnung Ratierlich 2%'!P40))</f>
        <v>0</v>
      </c>
      <c r="E32" s="184">
        <f>IF(Hilfe!$B$3=3,'Berechnung EB 2%'!Q40,'Berechnung Ratierlich 2%'!Q40)</f>
        <v>0</v>
      </c>
      <c r="F32" s="186">
        <f>MAX(0,IF(Hilfe!$B$3=3,'Berechnung EB 4%'!K40-'Berechnung EB 4%'!P40,'Berechnung Ratierlich 4%'!K40-'Berechnung Ratierlich 4%'!P40))</f>
        <v>0</v>
      </c>
      <c r="G32" s="188">
        <f>IF(Hilfe!$B$3=3,'Berechnung EB 4%'!Q40,'Berechnung Ratierlich 4%'!Q40)</f>
        <v>0</v>
      </c>
    </row>
    <row r="33" spans="1:7">
      <c r="A33" s="178">
        <v>31</v>
      </c>
      <c r="B33" s="184">
        <f>MAX(0,IF(Hilfe!$B$3=3,'Berechnung EB heute'!K41-'Berechnung EB heute'!P41,'Berechnung Ratierlich heute'!K41-'Berechnung Ratierlich heute'!P41))</f>
        <v>0</v>
      </c>
      <c r="C33" s="184">
        <f>IF(Hilfe!$B$3=3,'Berechnung EB heute'!Q41,'Berechnung Ratierlich heute'!Q41)</f>
        <v>0</v>
      </c>
      <c r="D33" s="185">
        <f>MAX(0,IF(Hilfe!$B$3=3,'Berechnung EB 2%'!K41-'Berechnung EB 2%'!P41,'Berechnung Ratierlich 2%'!K41-'Berechnung Ratierlich 2%'!P41))</f>
        <v>0</v>
      </c>
      <c r="E33" s="184">
        <f>IF(Hilfe!$B$3=3,'Berechnung EB 2%'!Q41,'Berechnung Ratierlich 2%'!Q41)</f>
        <v>0</v>
      </c>
      <c r="F33" s="186">
        <f>MAX(0,IF(Hilfe!$B$3=3,'Berechnung EB 4%'!K41-'Berechnung EB 4%'!P41,'Berechnung Ratierlich 4%'!K41-'Berechnung Ratierlich 4%'!P41))</f>
        <v>0</v>
      </c>
      <c r="G33" s="188">
        <f>IF(Hilfe!$B$3=3,'Berechnung EB 4%'!Q41,'Berechnung Ratierlich 4%'!Q41)</f>
        <v>0</v>
      </c>
    </row>
    <row r="34" spans="1:7">
      <c r="A34" s="178">
        <v>32</v>
      </c>
      <c r="B34" s="184">
        <f>MAX(0,IF(Hilfe!$B$3=3,'Berechnung EB heute'!K42-'Berechnung EB heute'!P42,'Berechnung Ratierlich heute'!K42-'Berechnung Ratierlich heute'!P42))</f>
        <v>0</v>
      </c>
      <c r="C34" s="184">
        <f>IF(Hilfe!$B$3=3,'Berechnung EB heute'!Q42,'Berechnung Ratierlich heute'!Q42)</f>
        <v>0</v>
      </c>
      <c r="D34" s="185">
        <f>MAX(0,IF(Hilfe!$B$3=3,'Berechnung EB 2%'!K42-'Berechnung EB 2%'!P42,'Berechnung Ratierlich 2%'!K42-'Berechnung Ratierlich 2%'!P42))</f>
        <v>0</v>
      </c>
      <c r="E34" s="184">
        <f>IF(Hilfe!$B$3=3,'Berechnung EB 2%'!Q42,'Berechnung Ratierlich 2%'!Q42)</f>
        <v>0</v>
      </c>
      <c r="F34" s="186">
        <f>MAX(0,IF(Hilfe!$B$3=3,'Berechnung EB 4%'!K42-'Berechnung EB 4%'!P42,'Berechnung Ratierlich 4%'!K42-'Berechnung Ratierlich 4%'!P42))</f>
        <v>0</v>
      </c>
      <c r="G34" s="188">
        <f>IF(Hilfe!$B$3=3,'Berechnung EB 4%'!Q42,'Berechnung Ratierlich 4%'!Q42)</f>
        <v>0</v>
      </c>
    </row>
    <row r="35" spans="1:7">
      <c r="A35" s="178">
        <v>33</v>
      </c>
      <c r="B35" s="184">
        <f>MAX(0,IF(Hilfe!$B$3=3,'Berechnung EB heute'!K43-'Berechnung EB heute'!P43,'Berechnung Ratierlich heute'!K43-'Berechnung Ratierlich heute'!P43))</f>
        <v>0</v>
      </c>
      <c r="C35" s="184">
        <f>IF(Hilfe!$B$3=3,'Berechnung EB heute'!Q43,'Berechnung Ratierlich heute'!Q43)</f>
        <v>0</v>
      </c>
      <c r="D35" s="185">
        <f>MAX(0,IF(Hilfe!$B$3=3,'Berechnung EB 2%'!K43-'Berechnung EB 2%'!P43,'Berechnung Ratierlich 2%'!K43-'Berechnung Ratierlich 2%'!P43))</f>
        <v>0</v>
      </c>
      <c r="E35" s="184">
        <f>IF(Hilfe!$B$3=3,'Berechnung EB 2%'!Q43,'Berechnung Ratierlich 2%'!Q43)</f>
        <v>0</v>
      </c>
      <c r="F35" s="186">
        <f>MAX(0,IF(Hilfe!$B$3=3,'Berechnung EB 4%'!K43-'Berechnung EB 4%'!P43,'Berechnung Ratierlich 4%'!K43-'Berechnung Ratierlich 4%'!P43))</f>
        <v>0</v>
      </c>
      <c r="G35" s="188">
        <f>IF(Hilfe!$B$3=3,'Berechnung EB 4%'!Q43,'Berechnung Ratierlich 4%'!Q43)</f>
        <v>0</v>
      </c>
    </row>
    <row r="36" spans="1:7">
      <c r="A36" s="178">
        <v>34</v>
      </c>
      <c r="B36" s="184">
        <f>MAX(0,IF(Hilfe!$B$3=3,'Berechnung EB heute'!K44-'Berechnung EB heute'!P44,'Berechnung Ratierlich heute'!K44-'Berechnung Ratierlich heute'!P44))</f>
        <v>0</v>
      </c>
      <c r="C36" s="184">
        <f>IF(Hilfe!$B$3=3,'Berechnung EB heute'!Q44,'Berechnung Ratierlich heute'!Q44)</f>
        <v>0</v>
      </c>
      <c r="D36" s="185">
        <f>MAX(0,IF(Hilfe!$B$3=3,'Berechnung EB 2%'!K44-'Berechnung EB 2%'!P44,'Berechnung Ratierlich 2%'!K44-'Berechnung Ratierlich 2%'!P44))</f>
        <v>0</v>
      </c>
      <c r="E36" s="184">
        <f>IF(Hilfe!$B$3=3,'Berechnung EB 2%'!Q44,'Berechnung Ratierlich 2%'!Q44)</f>
        <v>0</v>
      </c>
      <c r="F36" s="186">
        <f>MAX(0,IF(Hilfe!$B$3=3,'Berechnung EB 4%'!K44-'Berechnung EB 4%'!P44,'Berechnung Ratierlich 4%'!K44-'Berechnung Ratierlich 4%'!P44))</f>
        <v>0</v>
      </c>
      <c r="G36" s="188">
        <f>IF(Hilfe!$B$3=3,'Berechnung EB 4%'!Q44,'Berechnung Ratierlich 4%'!Q44)</f>
        <v>0</v>
      </c>
    </row>
    <row r="37" spans="1:7">
      <c r="A37" s="178">
        <v>35</v>
      </c>
      <c r="B37" s="184">
        <f>MAX(0,IF(Hilfe!$B$3=3,'Berechnung EB heute'!K45-'Berechnung EB heute'!P45,'Berechnung Ratierlich heute'!K45-'Berechnung Ratierlich heute'!P45))</f>
        <v>0</v>
      </c>
      <c r="C37" s="184">
        <f>IF(Hilfe!$B$3=3,'Berechnung EB heute'!Q45,'Berechnung Ratierlich heute'!Q45)</f>
        <v>0</v>
      </c>
      <c r="D37" s="185">
        <f>MAX(0,IF(Hilfe!$B$3=3,'Berechnung EB 2%'!K45-'Berechnung EB 2%'!P45,'Berechnung Ratierlich 2%'!K45-'Berechnung Ratierlich 2%'!P45))</f>
        <v>0</v>
      </c>
      <c r="E37" s="184">
        <f>IF(Hilfe!$B$3=3,'Berechnung EB 2%'!Q45,'Berechnung Ratierlich 2%'!Q45)</f>
        <v>0</v>
      </c>
      <c r="F37" s="186">
        <f>MAX(0,IF(Hilfe!$B$3=3,'Berechnung EB 4%'!K45-'Berechnung EB 4%'!P45,'Berechnung Ratierlich 4%'!K45-'Berechnung Ratierlich 4%'!P45))</f>
        <v>0</v>
      </c>
      <c r="G37" s="188">
        <f>IF(Hilfe!$B$3=3,'Berechnung EB 4%'!Q45,'Berechnung Ratierlich 4%'!Q45)</f>
        <v>0</v>
      </c>
    </row>
    <row r="38" spans="1:7">
      <c r="A38" s="178">
        <v>36</v>
      </c>
      <c r="B38" s="184">
        <f>MAX(0,IF(Hilfe!$B$3=3,'Berechnung EB heute'!K46-'Berechnung EB heute'!P46,'Berechnung Ratierlich heute'!K46-'Berechnung Ratierlich heute'!P46))</f>
        <v>0</v>
      </c>
      <c r="C38" s="184">
        <f>IF(Hilfe!$B$3=3,'Berechnung EB heute'!Q46,'Berechnung Ratierlich heute'!Q46)</f>
        <v>0</v>
      </c>
      <c r="D38" s="185">
        <f>MAX(0,IF(Hilfe!$B$3=3,'Berechnung EB 2%'!K46-'Berechnung EB 2%'!P46,'Berechnung Ratierlich 2%'!K46-'Berechnung Ratierlich 2%'!P46))</f>
        <v>0</v>
      </c>
      <c r="E38" s="184">
        <f>IF(Hilfe!$B$3=3,'Berechnung EB 2%'!Q46,'Berechnung Ratierlich 2%'!Q46)</f>
        <v>0</v>
      </c>
      <c r="F38" s="186">
        <f>MAX(0,IF(Hilfe!$B$3=3,'Berechnung EB 4%'!K46-'Berechnung EB 4%'!P46,'Berechnung Ratierlich 4%'!K46-'Berechnung Ratierlich 4%'!P46))</f>
        <v>0</v>
      </c>
      <c r="G38" s="188">
        <f>IF(Hilfe!$B$3=3,'Berechnung EB 4%'!Q46,'Berechnung Ratierlich 4%'!Q46)</f>
        <v>0</v>
      </c>
    </row>
    <row r="39" spans="1:7">
      <c r="A39" s="178">
        <v>37</v>
      </c>
      <c r="B39" s="184">
        <f>MAX(0,IF(Hilfe!$B$3=3,'Berechnung EB heute'!K47-'Berechnung EB heute'!P47,'Berechnung Ratierlich heute'!K47-'Berechnung Ratierlich heute'!P47))</f>
        <v>0</v>
      </c>
      <c r="C39" s="184">
        <f>IF(Hilfe!$B$3=3,'Berechnung EB heute'!Q47,'Berechnung Ratierlich heute'!Q47)</f>
        <v>0</v>
      </c>
      <c r="D39" s="185">
        <f>MAX(0,IF(Hilfe!$B$3=3,'Berechnung EB 2%'!K47-'Berechnung EB 2%'!P47,'Berechnung Ratierlich 2%'!K47-'Berechnung Ratierlich 2%'!P47))</f>
        <v>0</v>
      </c>
      <c r="E39" s="184">
        <f>IF(Hilfe!$B$3=3,'Berechnung EB 2%'!Q47,'Berechnung Ratierlich 2%'!Q47)</f>
        <v>0</v>
      </c>
      <c r="F39" s="186">
        <f>MAX(0,IF(Hilfe!$B$3=3,'Berechnung EB 4%'!K47-'Berechnung EB 4%'!P47,'Berechnung Ratierlich 4%'!K47-'Berechnung Ratierlich 4%'!P47))</f>
        <v>0</v>
      </c>
      <c r="G39" s="188">
        <f>IF(Hilfe!$B$3=3,'Berechnung EB 4%'!Q47,'Berechnung Ratierlich 4%'!Q47)</f>
        <v>0</v>
      </c>
    </row>
    <row r="40" spans="1:7">
      <c r="A40" s="178">
        <v>38</v>
      </c>
      <c r="B40" s="184">
        <f>MAX(0,IF(Hilfe!$B$3=3,'Berechnung EB heute'!K48-'Berechnung EB heute'!P48,'Berechnung Ratierlich heute'!K48-'Berechnung Ratierlich heute'!P48))</f>
        <v>0</v>
      </c>
      <c r="C40" s="184">
        <f>IF(Hilfe!$B$3=3,'Berechnung EB heute'!Q48,'Berechnung Ratierlich heute'!Q48)</f>
        <v>0</v>
      </c>
      <c r="D40" s="185">
        <f>MAX(0,IF(Hilfe!$B$3=3,'Berechnung EB 2%'!K48-'Berechnung EB 2%'!P48,'Berechnung Ratierlich 2%'!K48-'Berechnung Ratierlich 2%'!P48))</f>
        <v>0</v>
      </c>
      <c r="E40" s="184">
        <f>IF(Hilfe!$B$3=3,'Berechnung EB 2%'!Q48,'Berechnung Ratierlich 2%'!Q48)</f>
        <v>0</v>
      </c>
      <c r="F40" s="186">
        <f>MAX(0,IF(Hilfe!$B$3=3,'Berechnung EB 4%'!K48-'Berechnung EB 4%'!P48,'Berechnung Ratierlich 4%'!K48-'Berechnung Ratierlich 4%'!P48))</f>
        <v>0</v>
      </c>
      <c r="G40" s="188">
        <f>IF(Hilfe!$B$3=3,'Berechnung EB 4%'!Q48,'Berechnung Ratierlich 4%'!Q48)</f>
        <v>0</v>
      </c>
    </row>
    <row r="41" spans="1:7">
      <c r="A41" s="178">
        <v>39</v>
      </c>
      <c r="B41" s="184">
        <f>MAX(0,IF(Hilfe!$B$3=3,'Berechnung EB heute'!K49-'Berechnung EB heute'!P49,'Berechnung Ratierlich heute'!K49-'Berechnung Ratierlich heute'!P49))</f>
        <v>0</v>
      </c>
      <c r="C41" s="184">
        <f>IF(Hilfe!$B$3=3,'Berechnung EB heute'!Q49,'Berechnung Ratierlich heute'!Q49)</f>
        <v>0</v>
      </c>
      <c r="D41" s="185">
        <f>MAX(0,IF(Hilfe!$B$3=3,'Berechnung EB 2%'!K49-'Berechnung EB 2%'!P49,'Berechnung Ratierlich 2%'!K49-'Berechnung Ratierlich 2%'!P49))</f>
        <v>0</v>
      </c>
      <c r="E41" s="184">
        <f>IF(Hilfe!$B$3=3,'Berechnung EB 2%'!Q49,'Berechnung Ratierlich 2%'!Q49)</f>
        <v>0</v>
      </c>
      <c r="F41" s="186">
        <f>MAX(0,IF(Hilfe!$B$3=3,'Berechnung EB 4%'!K49-'Berechnung EB 4%'!P49,'Berechnung Ratierlich 4%'!K49-'Berechnung Ratierlich 4%'!P49))</f>
        <v>0</v>
      </c>
      <c r="G41" s="188">
        <f>IF(Hilfe!$B$3=3,'Berechnung EB 4%'!Q49,'Berechnung Ratierlich 4%'!Q49)</f>
        <v>0</v>
      </c>
    </row>
    <row r="42" spans="1:7">
      <c r="A42" s="178">
        <v>40</v>
      </c>
      <c r="B42" s="184">
        <f>MAX(0,IF(Hilfe!$B$3=3,'Berechnung EB heute'!K50-'Berechnung EB heute'!P50,'Berechnung Ratierlich heute'!K50-'Berechnung Ratierlich heute'!P50))</f>
        <v>0</v>
      </c>
      <c r="C42" s="184">
        <f>IF(Hilfe!$B$3=3,'Berechnung EB heute'!Q50,'Berechnung Ratierlich heute'!Q50)</f>
        <v>0</v>
      </c>
      <c r="D42" s="185">
        <f>MAX(0,IF(Hilfe!$B$3=3,'Berechnung EB 2%'!K50-'Berechnung EB 2%'!P50,'Berechnung Ratierlich 2%'!K50-'Berechnung Ratierlich 2%'!P50))</f>
        <v>0</v>
      </c>
      <c r="E42" s="184">
        <f>IF(Hilfe!$B$3=3,'Berechnung EB 2%'!Q50,'Berechnung Ratierlich 2%'!Q50)</f>
        <v>0</v>
      </c>
      <c r="F42" s="186">
        <f>MAX(0,IF(Hilfe!$B$3=3,'Berechnung EB 4%'!K50-'Berechnung EB 4%'!P50,'Berechnung Ratierlich 4%'!K50-'Berechnung Ratierlich 4%'!P50))</f>
        <v>0</v>
      </c>
      <c r="G42" s="188">
        <f>IF(Hilfe!$B$3=3,'Berechnung EB 4%'!Q50,'Berechnung Ratierlich 4%'!Q50)</f>
        <v>0</v>
      </c>
    </row>
    <row r="43" spans="1:7">
      <c r="A43" s="178">
        <v>41</v>
      </c>
      <c r="B43" s="184">
        <f>MAX(0,IF(Hilfe!$B$3=3,'Berechnung EB heute'!K51-'Berechnung EB heute'!P51,'Berechnung Ratierlich heute'!K51-'Berechnung Ratierlich heute'!P51))</f>
        <v>0</v>
      </c>
      <c r="C43" s="184">
        <f>IF(Hilfe!$B$3=3,'Berechnung EB heute'!Q51,'Berechnung Ratierlich heute'!Q51)</f>
        <v>0</v>
      </c>
      <c r="D43" s="185">
        <f>MAX(0,IF(Hilfe!$B$3=3,'Berechnung EB 2%'!K51-'Berechnung EB 2%'!P51,'Berechnung Ratierlich 2%'!K51-'Berechnung Ratierlich 2%'!P51))</f>
        <v>0</v>
      </c>
      <c r="E43" s="184">
        <f>IF(Hilfe!$B$3=3,'Berechnung EB 2%'!Q51,'Berechnung Ratierlich 2%'!Q51)</f>
        <v>0</v>
      </c>
      <c r="F43" s="186">
        <f>MAX(0,IF(Hilfe!$B$3=3,'Berechnung EB 4%'!K51-'Berechnung EB 4%'!P51,'Berechnung Ratierlich 4%'!K51-'Berechnung Ratierlich 4%'!P51))</f>
        <v>0</v>
      </c>
      <c r="G43" s="188">
        <f>IF(Hilfe!$B$3=3,'Berechnung EB 4%'!Q51,'Berechnung Ratierlich 4%'!Q51)</f>
        <v>0</v>
      </c>
    </row>
    <row r="44" spans="1:7">
      <c r="A44" s="178">
        <v>42</v>
      </c>
      <c r="B44" s="184">
        <f>MAX(0,IF(Hilfe!$B$3=3,'Berechnung EB heute'!K52-'Berechnung EB heute'!P52,'Berechnung Ratierlich heute'!K52-'Berechnung Ratierlich heute'!P52))</f>
        <v>0</v>
      </c>
      <c r="C44" s="184">
        <f>IF(Hilfe!$B$3=3,'Berechnung EB heute'!Q52,'Berechnung Ratierlich heute'!Q52)</f>
        <v>0</v>
      </c>
      <c r="D44" s="185">
        <f>MAX(0,IF(Hilfe!$B$3=3,'Berechnung EB 2%'!K52-'Berechnung EB 2%'!P52,'Berechnung Ratierlich 2%'!K52-'Berechnung Ratierlich 2%'!P52))</f>
        <v>0</v>
      </c>
      <c r="E44" s="184">
        <f>IF(Hilfe!$B$3=3,'Berechnung EB 2%'!Q52,'Berechnung Ratierlich 2%'!Q52)</f>
        <v>0</v>
      </c>
      <c r="F44" s="186">
        <f>MAX(0,IF(Hilfe!$B$3=3,'Berechnung EB 4%'!K52-'Berechnung EB 4%'!P52,'Berechnung Ratierlich 4%'!K52-'Berechnung Ratierlich 4%'!P52))</f>
        <v>0</v>
      </c>
      <c r="G44" s="188">
        <f>IF(Hilfe!$B$3=3,'Berechnung EB 4%'!Q52,'Berechnung Ratierlich 4%'!Q52)</f>
        <v>0</v>
      </c>
    </row>
    <row r="45" spans="1:7">
      <c r="A45" s="178">
        <v>43</v>
      </c>
      <c r="B45" s="184">
        <f>MAX(0,IF(Hilfe!$B$3=3,'Berechnung EB heute'!K53-'Berechnung EB heute'!P53,'Berechnung Ratierlich heute'!K53-'Berechnung Ratierlich heute'!P53))</f>
        <v>0</v>
      </c>
      <c r="C45" s="184">
        <f>IF(Hilfe!$B$3=3,'Berechnung EB heute'!Q53,'Berechnung Ratierlich heute'!Q53)</f>
        <v>0</v>
      </c>
      <c r="D45" s="185">
        <f>MAX(0,IF(Hilfe!$B$3=3,'Berechnung EB 2%'!K53-'Berechnung EB 2%'!P53,'Berechnung Ratierlich 2%'!K53-'Berechnung Ratierlich 2%'!P53))</f>
        <v>0</v>
      </c>
      <c r="E45" s="184">
        <f>IF(Hilfe!$B$3=3,'Berechnung EB 2%'!Q53,'Berechnung Ratierlich 2%'!Q53)</f>
        <v>0</v>
      </c>
      <c r="F45" s="186">
        <f>MAX(0,IF(Hilfe!$B$3=3,'Berechnung EB 4%'!K53-'Berechnung EB 4%'!P53,'Berechnung Ratierlich 4%'!K53-'Berechnung Ratierlich 4%'!P53))</f>
        <v>0</v>
      </c>
      <c r="G45" s="188">
        <f>IF(Hilfe!$B$3=3,'Berechnung EB 4%'!Q53,'Berechnung Ratierlich 4%'!Q53)</f>
        <v>0</v>
      </c>
    </row>
    <row r="46" spans="1:7">
      <c r="A46" s="178">
        <v>44</v>
      </c>
      <c r="B46" s="184">
        <f>MAX(0,IF(Hilfe!$B$3=3,'Berechnung EB heute'!K54-'Berechnung EB heute'!P54,'Berechnung Ratierlich heute'!K54-'Berechnung Ratierlich heute'!P54))</f>
        <v>0</v>
      </c>
      <c r="C46" s="184">
        <f>IF(Hilfe!$B$3=3,'Berechnung EB heute'!Q54,'Berechnung Ratierlich heute'!Q54)</f>
        <v>0</v>
      </c>
      <c r="D46" s="185">
        <f>MAX(0,IF(Hilfe!$B$3=3,'Berechnung EB 2%'!K54-'Berechnung EB 2%'!P54,'Berechnung Ratierlich 2%'!K54-'Berechnung Ratierlich 2%'!P54))</f>
        <v>0</v>
      </c>
      <c r="E46" s="184">
        <f>IF(Hilfe!$B$3=3,'Berechnung EB 2%'!Q54,'Berechnung Ratierlich 2%'!Q54)</f>
        <v>0</v>
      </c>
      <c r="F46" s="186">
        <f>MAX(0,IF(Hilfe!$B$3=3,'Berechnung EB 4%'!K54-'Berechnung EB 4%'!P54,'Berechnung Ratierlich 4%'!K54-'Berechnung Ratierlich 4%'!P54))</f>
        <v>0</v>
      </c>
      <c r="G46" s="188">
        <f>IF(Hilfe!$B$3=3,'Berechnung EB 4%'!Q54,'Berechnung Ratierlich 4%'!Q54)</f>
        <v>0</v>
      </c>
    </row>
    <row r="47" spans="1:7">
      <c r="A47" s="178">
        <v>45</v>
      </c>
      <c r="B47" s="184">
        <f>MAX(0,IF(Hilfe!$B$3=3,'Berechnung EB heute'!K55-'Berechnung EB heute'!P55,'Berechnung Ratierlich heute'!K55-'Berechnung Ratierlich heute'!P55))</f>
        <v>0</v>
      </c>
      <c r="C47" s="184">
        <f>IF(Hilfe!$B$3=3,'Berechnung EB heute'!Q55,'Berechnung Ratierlich heute'!Q55)</f>
        <v>0</v>
      </c>
      <c r="D47" s="185">
        <f>MAX(0,IF(Hilfe!$B$3=3,'Berechnung EB 2%'!K55-'Berechnung EB 2%'!P55,'Berechnung Ratierlich 2%'!K55-'Berechnung Ratierlich 2%'!P55))</f>
        <v>0</v>
      </c>
      <c r="E47" s="184">
        <f>IF(Hilfe!$B$3=3,'Berechnung EB 2%'!Q55,'Berechnung Ratierlich 2%'!Q55)</f>
        <v>0</v>
      </c>
      <c r="F47" s="186">
        <f>MAX(0,IF(Hilfe!$B$3=3,'Berechnung EB 4%'!K55-'Berechnung EB 4%'!P55,'Berechnung Ratierlich 4%'!K55-'Berechnung Ratierlich 4%'!P55))</f>
        <v>0</v>
      </c>
      <c r="G47" s="188">
        <f>IF(Hilfe!$B$3=3,'Berechnung EB 4%'!Q55,'Berechnung Ratierlich 4%'!Q55)</f>
        <v>0</v>
      </c>
    </row>
    <row r="48" spans="1:7">
      <c r="A48" s="178">
        <v>46</v>
      </c>
      <c r="B48" s="184">
        <f>MAX(0,IF(Hilfe!$B$3=3,'Berechnung EB heute'!K56-'Berechnung EB heute'!P56,'Berechnung Ratierlich heute'!K56-'Berechnung Ratierlich heute'!P56))</f>
        <v>0</v>
      </c>
      <c r="C48" s="184">
        <f>IF(Hilfe!$B$3=3,'Berechnung EB heute'!Q56,'Berechnung Ratierlich heute'!Q56)</f>
        <v>0</v>
      </c>
      <c r="D48" s="185">
        <f>MAX(0,IF(Hilfe!$B$3=3,'Berechnung EB 2%'!K56-'Berechnung EB 2%'!P56,'Berechnung Ratierlich 2%'!K56-'Berechnung Ratierlich 2%'!P56))</f>
        <v>0</v>
      </c>
      <c r="E48" s="184">
        <f>IF(Hilfe!$B$3=3,'Berechnung EB 2%'!Q56,'Berechnung Ratierlich 2%'!Q56)</f>
        <v>0</v>
      </c>
      <c r="F48" s="186">
        <f>MAX(0,IF(Hilfe!$B$3=3,'Berechnung EB 4%'!K56-'Berechnung EB 4%'!P56,'Berechnung Ratierlich 4%'!K56-'Berechnung Ratierlich 4%'!P56))</f>
        <v>0</v>
      </c>
      <c r="G48" s="188">
        <f>IF(Hilfe!$B$3=3,'Berechnung EB 4%'!Q56,'Berechnung Ratierlich 4%'!Q56)</f>
        <v>0</v>
      </c>
    </row>
    <row r="49" spans="1:7">
      <c r="A49" s="178">
        <v>47</v>
      </c>
      <c r="B49" s="184">
        <f>MAX(0,IF(Hilfe!$B$3=3,'Berechnung EB heute'!K57-'Berechnung EB heute'!P57,'Berechnung Ratierlich heute'!K57-'Berechnung Ratierlich heute'!P57))</f>
        <v>0</v>
      </c>
      <c r="C49" s="184">
        <f>IF(Hilfe!$B$3=3,'Berechnung EB heute'!Q57,'Berechnung Ratierlich heute'!Q57)</f>
        <v>0</v>
      </c>
      <c r="D49" s="185">
        <f>MAX(0,IF(Hilfe!$B$3=3,'Berechnung EB 2%'!K57-'Berechnung EB 2%'!P57,'Berechnung Ratierlich 2%'!K57-'Berechnung Ratierlich 2%'!P57))</f>
        <v>0</v>
      </c>
      <c r="E49" s="184">
        <f>IF(Hilfe!$B$3=3,'Berechnung EB 2%'!Q57,'Berechnung Ratierlich 2%'!Q57)</f>
        <v>0</v>
      </c>
      <c r="F49" s="186">
        <f>MAX(0,IF(Hilfe!$B$3=3,'Berechnung EB 4%'!K57-'Berechnung EB 4%'!P57,'Berechnung Ratierlich 4%'!K57-'Berechnung Ratierlich 4%'!P57))</f>
        <v>0</v>
      </c>
      <c r="G49" s="188">
        <f>IF(Hilfe!$B$3=3,'Berechnung EB 4%'!Q57,'Berechnung Ratierlich 4%'!Q57)</f>
        <v>0</v>
      </c>
    </row>
    <row r="50" spans="1:7">
      <c r="A50" s="178">
        <v>48</v>
      </c>
      <c r="B50" s="184">
        <f>MAX(0,IF(Hilfe!$B$3=3,'Berechnung EB heute'!K58-'Berechnung EB heute'!P58,'Berechnung Ratierlich heute'!K58-'Berechnung Ratierlich heute'!P58))</f>
        <v>0</v>
      </c>
      <c r="C50" s="184">
        <f>IF(Hilfe!$B$3=3,'Berechnung EB heute'!Q58,'Berechnung Ratierlich heute'!Q58)</f>
        <v>0</v>
      </c>
      <c r="D50" s="185">
        <f>MAX(0,IF(Hilfe!$B$3=3,'Berechnung EB 2%'!K58-'Berechnung EB 2%'!P58,'Berechnung Ratierlich 2%'!K58-'Berechnung Ratierlich 2%'!P58))</f>
        <v>0</v>
      </c>
      <c r="E50" s="184">
        <f>IF(Hilfe!$B$3=3,'Berechnung EB 2%'!Q58,'Berechnung Ratierlich 2%'!Q58)</f>
        <v>0</v>
      </c>
      <c r="F50" s="186">
        <f>MAX(0,IF(Hilfe!$B$3=3,'Berechnung EB 4%'!K58-'Berechnung EB 4%'!P58,'Berechnung Ratierlich 4%'!K58-'Berechnung Ratierlich 4%'!P58))</f>
        <v>0</v>
      </c>
      <c r="G50" s="188">
        <f>IF(Hilfe!$B$3=3,'Berechnung EB 4%'!Q58,'Berechnung Ratierlich 4%'!Q58)</f>
        <v>0</v>
      </c>
    </row>
    <row r="51" spans="1:7">
      <c r="A51" s="178">
        <v>49</v>
      </c>
      <c r="B51" s="184">
        <f>MAX(0,IF(Hilfe!$B$3=3,'Berechnung EB heute'!K59-'Berechnung EB heute'!P59,'Berechnung Ratierlich heute'!K59-'Berechnung Ratierlich heute'!P59))</f>
        <v>0</v>
      </c>
      <c r="C51" s="184">
        <f>IF(Hilfe!$B$3=3,'Berechnung EB heute'!Q59,'Berechnung Ratierlich heute'!Q59)</f>
        <v>0</v>
      </c>
      <c r="D51" s="185">
        <f>MAX(0,IF(Hilfe!$B$3=3,'Berechnung EB 2%'!K59-'Berechnung EB 2%'!P59,'Berechnung Ratierlich 2%'!K59-'Berechnung Ratierlich 2%'!P59))</f>
        <v>0</v>
      </c>
      <c r="E51" s="184">
        <f>IF(Hilfe!$B$3=3,'Berechnung EB 2%'!Q59,'Berechnung Ratierlich 2%'!Q59)</f>
        <v>0</v>
      </c>
      <c r="F51" s="186">
        <f>MAX(0,IF(Hilfe!$B$3=3,'Berechnung EB 4%'!K59-'Berechnung EB 4%'!P59,'Berechnung Ratierlich 4%'!K59-'Berechnung Ratierlich 4%'!P59))</f>
        <v>0</v>
      </c>
      <c r="G51" s="188">
        <f>IF(Hilfe!$B$3=3,'Berechnung EB 4%'!Q59,'Berechnung Ratierlich 4%'!Q59)</f>
        <v>0</v>
      </c>
    </row>
    <row r="52" spans="1:7">
      <c r="A52" s="178">
        <v>50</v>
      </c>
      <c r="B52" s="184">
        <f>MAX(0,IF(Hilfe!$B$3=3,'Berechnung EB heute'!K60-'Berechnung EB heute'!P60,'Berechnung Ratierlich heute'!K60-'Berechnung Ratierlich heute'!P60))</f>
        <v>0</v>
      </c>
      <c r="C52" s="184">
        <f>IF(Hilfe!$B$3=3,'Berechnung EB heute'!Q60,'Berechnung Ratierlich heute'!Q60)</f>
        <v>0</v>
      </c>
      <c r="D52" s="185">
        <f>MAX(0,IF(Hilfe!$B$3=3,'Berechnung EB 2%'!K60-'Berechnung EB 2%'!P60,'Berechnung Ratierlich 2%'!K60-'Berechnung Ratierlich 2%'!P60))</f>
        <v>0</v>
      </c>
      <c r="E52" s="184">
        <f>IF(Hilfe!$B$3=3,'Berechnung EB 2%'!Q60,'Berechnung Ratierlich 2%'!Q60)</f>
        <v>0</v>
      </c>
      <c r="F52" s="186">
        <f>MAX(0,IF(Hilfe!$B$3=3,'Berechnung EB 4%'!K60-'Berechnung EB 4%'!P60,'Berechnung Ratierlich 4%'!K60-'Berechnung Ratierlich 4%'!P60))</f>
        <v>0</v>
      </c>
      <c r="G52" s="188">
        <f>IF(Hilfe!$B$3=3,'Berechnung EB 4%'!Q60,'Berechnung Ratierlich 4%'!Q60)</f>
        <v>0</v>
      </c>
    </row>
    <row r="53" spans="1:7">
      <c r="A53" s="178">
        <v>51</v>
      </c>
      <c r="B53" s="184">
        <f>MAX(0,IF(Hilfe!$B$3=3,'Berechnung EB heute'!K61-'Berechnung EB heute'!P61,'Berechnung Ratierlich heute'!K61-'Berechnung Ratierlich heute'!P61))</f>
        <v>0</v>
      </c>
      <c r="C53" s="184">
        <f>IF(Hilfe!$B$3=3,'Berechnung EB heute'!Q61,'Berechnung Ratierlich heute'!Q61)</f>
        <v>0</v>
      </c>
      <c r="D53" s="185">
        <f>MAX(0,IF(Hilfe!$B$3=3,'Berechnung EB 2%'!K61-'Berechnung EB 2%'!P61,'Berechnung Ratierlich 2%'!K61-'Berechnung Ratierlich 2%'!P61))</f>
        <v>0</v>
      </c>
      <c r="E53" s="184">
        <f>IF(Hilfe!$B$3=3,'Berechnung EB 2%'!Q61,'Berechnung Ratierlich 2%'!Q61)</f>
        <v>0</v>
      </c>
      <c r="F53" s="186">
        <f>MAX(0,IF(Hilfe!$B$3=3,'Berechnung EB 4%'!K61-'Berechnung EB 4%'!P61,'Berechnung Ratierlich 4%'!K61-'Berechnung Ratierlich 4%'!P61))</f>
        <v>0</v>
      </c>
      <c r="G53" s="188">
        <f>IF(Hilfe!$B$3=3,'Berechnung EB 4%'!Q61,'Berechnung Ratierlich 4%'!Q61)</f>
        <v>0</v>
      </c>
    </row>
    <row r="54" spans="1:7">
      <c r="A54" s="178">
        <v>52</v>
      </c>
      <c r="B54" s="184">
        <f>MAX(0,IF(Hilfe!$B$3=3,'Berechnung EB heute'!K62-'Berechnung EB heute'!P62,'Berechnung Ratierlich heute'!K62-'Berechnung Ratierlich heute'!P62))</f>
        <v>0</v>
      </c>
      <c r="C54" s="184">
        <f>IF(Hilfe!$B$3=3,'Berechnung EB heute'!Q62,'Berechnung Ratierlich heute'!Q62)</f>
        <v>0</v>
      </c>
      <c r="D54" s="185">
        <f>MAX(0,IF(Hilfe!$B$3=3,'Berechnung EB 2%'!K62-'Berechnung EB 2%'!P62,'Berechnung Ratierlich 2%'!K62-'Berechnung Ratierlich 2%'!P62))</f>
        <v>0</v>
      </c>
      <c r="E54" s="184">
        <f>IF(Hilfe!$B$3=3,'Berechnung EB 2%'!Q62,'Berechnung Ratierlich 2%'!Q62)</f>
        <v>0</v>
      </c>
      <c r="F54" s="186">
        <f>MAX(0,IF(Hilfe!$B$3=3,'Berechnung EB 4%'!K62-'Berechnung EB 4%'!P62,'Berechnung Ratierlich 4%'!K62-'Berechnung Ratierlich 4%'!P62))</f>
        <v>0</v>
      </c>
      <c r="G54" s="188">
        <f>IF(Hilfe!$B$3=3,'Berechnung EB 4%'!Q62,'Berechnung Ratierlich 4%'!Q62)</f>
        <v>0</v>
      </c>
    </row>
    <row r="55" spans="1:7">
      <c r="A55" s="178">
        <v>53</v>
      </c>
      <c r="B55" s="184">
        <f>MAX(0,IF(Hilfe!$B$3=3,'Berechnung EB heute'!K63-'Berechnung EB heute'!P63,'Berechnung Ratierlich heute'!K63-'Berechnung Ratierlich heute'!P63))</f>
        <v>0</v>
      </c>
      <c r="C55" s="184">
        <f>IF(Hilfe!$B$3=3,'Berechnung EB heute'!Q63,'Berechnung Ratierlich heute'!Q63)</f>
        <v>0</v>
      </c>
      <c r="D55" s="185">
        <f>MAX(0,IF(Hilfe!$B$3=3,'Berechnung EB 2%'!K63-'Berechnung EB 2%'!P63,'Berechnung Ratierlich 2%'!K63-'Berechnung Ratierlich 2%'!P63))</f>
        <v>0</v>
      </c>
      <c r="E55" s="184">
        <f>IF(Hilfe!$B$3=3,'Berechnung EB 2%'!Q63,'Berechnung Ratierlich 2%'!Q63)</f>
        <v>0</v>
      </c>
      <c r="F55" s="186">
        <f>MAX(0,IF(Hilfe!$B$3=3,'Berechnung EB 4%'!K63-'Berechnung EB 4%'!P63,'Berechnung Ratierlich 4%'!K63-'Berechnung Ratierlich 4%'!P63))</f>
        <v>0</v>
      </c>
      <c r="G55" s="188">
        <f>IF(Hilfe!$B$3=3,'Berechnung EB 4%'!Q63,'Berechnung Ratierlich 4%'!Q63)</f>
        <v>0</v>
      </c>
    </row>
    <row r="56" spans="1:7">
      <c r="A56" s="178">
        <v>54</v>
      </c>
      <c r="B56" s="184">
        <f>MAX(0,IF(Hilfe!$B$3=3,'Berechnung EB heute'!K64-'Berechnung EB heute'!P64,'Berechnung Ratierlich heute'!K64-'Berechnung Ratierlich heute'!P64))</f>
        <v>0</v>
      </c>
      <c r="C56" s="184">
        <f>IF(Hilfe!$B$3=3,'Berechnung EB heute'!Q64,'Berechnung Ratierlich heute'!Q64)</f>
        <v>0</v>
      </c>
      <c r="D56" s="185">
        <f>MAX(0,IF(Hilfe!$B$3=3,'Berechnung EB 2%'!K64-'Berechnung EB 2%'!P64,'Berechnung Ratierlich 2%'!K64-'Berechnung Ratierlich 2%'!P64))</f>
        <v>0</v>
      </c>
      <c r="E56" s="184">
        <f>IF(Hilfe!$B$3=3,'Berechnung EB 2%'!Q64,'Berechnung Ratierlich 2%'!Q64)</f>
        <v>0</v>
      </c>
      <c r="F56" s="186">
        <f>MAX(0,IF(Hilfe!$B$3=3,'Berechnung EB 4%'!K64-'Berechnung EB 4%'!P64,'Berechnung Ratierlich 4%'!K64-'Berechnung Ratierlich 4%'!P64))</f>
        <v>0</v>
      </c>
      <c r="G56" s="188">
        <f>IF(Hilfe!$B$3=3,'Berechnung EB 4%'!Q64,'Berechnung Ratierlich 4%'!Q64)</f>
        <v>0</v>
      </c>
    </row>
    <row r="57" spans="1:7">
      <c r="A57" s="178">
        <v>55</v>
      </c>
      <c r="B57" s="184">
        <f>MAX(0,IF(Hilfe!$B$3=3,'Berechnung EB heute'!K65-'Berechnung EB heute'!P65,'Berechnung Ratierlich heute'!K65-'Berechnung Ratierlich heute'!P65))</f>
        <v>0</v>
      </c>
      <c r="C57" s="184">
        <f>IF(Hilfe!$B$3=3,'Berechnung EB heute'!Q65,'Berechnung Ratierlich heute'!Q65)</f>
        <v>0</v>
      </c>
      <c r="D57" s="185">
        <f>MAX(0,IF(Hilfe!$B$3=3,'Berechnung EB 2%'!K65-'Berechnung EB 2%'!P65,'Berechnung Ratierlich 2%'!K65-'Berechnung Ratierlich 2%'!P65))</f>
        <v>0</v>
      </c>
      <c r="E57" s="184">
        <f>IF(Hilfe!$B$3=3,'Berechnung EB 2%'!Q65,'Berechnung Ratierlich 2%'!Q65)</f>
        <v>0</v>
      </c>
      <c r="F57" s="186">
        <f>MAX(0,IF(Hilfe!$B$3=3,'Berechnung EB 4%'!K65-'Berechnung EB 4%'!P65,'Berechnung Ratierlich 4%'!K65-'Berechnung Ratierlich 4%'!P65))</f>
        <v>0</v>
      </c>
      <c r="G57" s="188">
        <f>IF(Hilfe!$B$3=3,'Berechnung EB 4%'!Q65,'Berechnung Ratierlich 4%'!Q65)</f>
        <v>0</v>
      </c>
    </row>
    <row r="58" spans="1:7">
      <c r="A58" s="178">
        <v>56</v>
      </c>
      <c r="B58" s="184">
        <f>MAX(0,IF(Hilfe!$B$3=3,'Berechnung EB heute'!K66-'Berechnung EB heute'!P66,'Berechnung Ratierlich heute'!K66-'Berechnung Ratierlich heute'!P66))</f>
        <v>0</v>
      </c>
      <c r="C58" s="184">
        <f>IF(Hilfe!$B$3=3,'Berechnung EB heute'!Q66,'Berechnung Ratierlich heute'!Q66)</f>
        <v>0</v>
      </c>
      <c r="D58" s="185">
        <f>MAX(0,IF(Hilfe!$B$3=3,'Berechnung EB 2%'!K66-'Berechnung EB 2%'!P66,'Berechnung Ratierlich 2%'!K66-'Berechnung Ratierlich 2%'!P66))</f>
        <v>0</v>
      </c>
      <c r="E58" s="184">
        <f>IF(Hilfe!$B$3=3,'Berechnung EB 2%'!Q66,'Berechnung Ratierlich 2%'!Q66)</f>
        <v>0</v>
      </c>
      <c r="F58" s="186">
        <f>MAX(0,IF(Hilfe!$B$3=3,'Berechnung EB 4%'!K66-'Berechnung EB 4%'!P66,'Berechnung Ratierlich 4%'!K66-'Berechnung Ratierlich 4%'!P66))</f>
        <v>0</v>
      </c>
      <c r="G58" s="188">
        <f>IF(Hilfe!$B$3=3,'Berechnung EB 4%'!Q66,'Berechnung Ratierlich 4%'!Q66)</f>
        <v>0</v>
      </c>
    </row>
    <row r="59" spans="1:7">
      <c r="A59" s="178">
        <v>57</v>
      </c>
      <c r="B59" s="184">
        <f>MAX(0,IF(Hilfe!$B$3=3,'Berechnung EB heute'!K67-'Berechnung EB heute'!P67,'Berechnung Ratierlich heute'!K67-'Berechnung Ratierlich heute'!P67))</f>
        <v>0</v>
      </c>
      <c r="C59" s="184">
        <f>IF(Hilfe!$B$3=3,'Berechnung EB heute'!Q67,'Berechnung Ratierlich heute'!Q67)</f>
        <v>0</v>
      </c>
      <c r="D59" s="185">
        <f>MAX(0,IF(Hilfe!$B$3=3,'Berechnung EB 2%'!K67-'Berechnung EB 2%'!P67,'Berechnung Ratierlich 2%'!K67-'Berechnung Ratierlich 2%'!P67))</f>
        <v>0</v>
      </c>
      <c r="E59" s="184">
        <f>IF(Hilfe!$B$3=3,'Berechnung EB 2%'!Q67,'Berechnung Ratierlich 2%'!Q67)</f>
        <v>0</v>
      </c>
      <c r="F59" s="186">
        <f>MAX(0,IF(Hilfe!$B$3=3,'Berechnung EB 4%'!K67-'Berechnung EB 4%'!P67,'Berechnung Ratierlich 4%'!K67-'Berechnung Ratierlich 4%'!P67))</f>
        <v>0</v>
      </c>
      <c r="G59" s="188">
        <f>IF(Hilfe!$B$3=3,'Berechnung EB 4%'!Q67,'Berechnung Ratierlich 4%'!Q67)</f>
        <v>0</v>
      </c>
    </row>
    <row r="60" spans="1:7">
      <c r="A60" s="178">
        <v>58</v>
      </c>
      <c r="B60" s="184">
        <f>MAX(0,IF(Hilfe!$B$3=3,'Berechnung EB heute'!K68-'Berechnung EB heute'!P68,'Berechnung Ratierlich heute'!K68-'Berechnung Ratierlich heute'!P68))</f>
        <v>0</v>
      </c>
      <c r="C60" s="184">
        <f>IF(Hilfe!$B$3=3,'Berechnung EB heute'!Q68,'Berechnung Ratierlich heute'!Q68)</f>
        <v>0</v>
      </c>
      <c r="D60" s="185">
        <f>MAX(0,IF(Hilfe!$B$3=3,'Berechnung EB 2%'!K68-'Berechnung EB 2%'!P68,'Berechnung Ratierlich 2%'!K68-'Berechnung Ratierlich 2%'!P68))</f>
        <v>0</v>
      </c>
      <c r="E60" s="184">
        <f>IF(Hilfe!$B$3=3,'Berechnung EB 2%'!Q68,'Berechnung Ratierlich 2%'!Q68)</f>
        <v>0</v>
      </c>
      <c r="F60" s="186">
        <f>MAX(0,IF(Hilfe!$B$3=3,'Berechnung EB 4%'!K68-'Berechnung EB 4%'!P68,'Berechnung Ratierlich 4%'!K68-'Berechnung Ratierlich 4%'!P68))</f>
        <v>0</v>
      </c>
      <c r="G60" s="188">
        <f>IF(Hilfe!$B$3=3,'Berechnung EB 4%'!Q68,'Berechnung Ratierlich 4%'!Q68)</f>
        <v>0</v>
      </c>
    </row>
    <row r="61" spans="1:7">
      <c r="A61" s="178">
        <v>59</v>
      </c>
      <c r="B61" s="184">
        <f>MAX(0,IF(Hilfe!$B$3=3,'Berechnung EB heute'!K69-'Berechnung EB heute'!P69,'Berechnung Ratierlich heute'!K69-'Berechnung Ratierlich heute'!P69))</f>
        <v>0</v>
      </c>
      <c r="C61" s="184">
        <f>IF(Hilfe!$B$3=3,'Berechnung EB heute'!Q69,'Berechnung Ratierlich heute'!Q69)</f>
        <v>0</v>
      </c>
      <c r="D61" s="185">
        <f>MAX(0,IF(Hilfe!$B$3=3,'Berechnung EB 2%'!K69-'Berechnung EB 2%'!P69,'Berechnung Ratierlich 2%'!K69-'Berechnung Ratierlich 2%'!P69))</f>
        <v>0</v>
      </c>
      <c r="E61" s="184">
        <f>IF(Hilfe!$B$3=3,'Berechnung EB 2%'!Q69,'Berechnung Ratierlich 2%'!Q69)</f>
        <v>0</v>
      </c>
      <c r="F61" s="186">
        <f>MAX(0,IF(Hilfe!$B$3=3,'Berechnung EB 4%'!K69-'Berechnung EB 4%'!P69,'Berechnung Ratierlich 4%'!K69-'Berechnung Ratierlich 4%'!P69))</f>
        <v>0</v>
      </c>
      <c r="G61" s="188">
        <f>IF(Hilfe!$B$3=3,'Berechnung EB 4%'!Q69,'Berechnung Ratierlich 4%'!Q69)</f>
        <v>0</v>
      </c>
    </row>
    <row r="62" spans="1:7">
      <c r="A62" s="178">
        <v>60</v>
      </c>
      <c r="B62" s="184">
        <f>MAX(0,IF(Hilfe!$B$3=3,'Berechnung EB heute'!K70-'Berechnung EB heute'!P70,'Berechnung Ratierlich heute'!K70-'Berechnung Ratierlich heute'!P70))</f>
        <v>0</v>
      </c>
      <c r="C62" s="184">
        <f>IF(Hilfe!$B$3=3,'Berechnung EB heute'!Q70,'Berechnung Ratierlich heute'!Q70)</f>
        <v>0</v>
      </c>
      <c r="D62" s="185">
        <f>MAX(0,IF(Hilfe!$B$3=3,'Berechnung EB 2%'!K70-'Berechnung EB 2%'!P70,'Berechnung Ratierlich 2%'!K70-'Berechnung Ratierlich 2%'!P70))</f>
        <v>0</v>
      </c>
      <c r="E62" s="184">
        <f>IF(Hilfe!$B$3=3,'Berechnung EB 2%'!Q70,'Berechnung Ratierlich 2%'!Q70)</f>
        <v>0</v>
      </c>
      <c r="F62" s="186">
        <f>MAX(0,IF(Hilfe!$B$3=3,'Berechnung EB 4%'!K70-'Berechnung EB 4%'!P70,'Berechnung Ratierlich 4%'!K70-'Berechnung Ratierlich 4%'!P70))</f>
        <v>0</v>
      </c>
      <c r="G62" s="188">
        <f>IF(Hilfe!$B$3=3,'Berechnung EB 4%'!Q70,'Berechnung Ratierlich 4%'!Q70)</f>
        <v>0</v>
      </c>
    </row>
    <row r="63" spans="1:7">
      <c r="B63" s="184"/>
      <c r="C63" s="184"/>
    </row>
    <row r="64" spans="1:7">
      <c r="B64" s="184"/>
      <c r="C64" s="184"/>
    </row>
    <row r="65" spans="2:3">
      <c r="B65" s="184"/>
      <c r="C65" s="184"/>
    </row>
    <row r="66" spans="2:3">
      <c r="B66" s="184"/>
      <c r="C66" s="184"/>
    </row>
    <row r="67" spans="2:3">
      <c r="B67" s="184"/>
      <c r="C67" s="184"/>
    </row>
    <row r="68" spans="2:3">
      <c r="B68" s="184"/>
      <c r="C68" s="184"/>
    </row>
    <row r="69" spans="2:3">
      <c r="B69" s="184"/>
      <c r="C69" s="184"/>
    </row>
    <row r="70" spans="2:3">
      <c r="B70" s="184"/>
      <c r="C70" s="184"/>
    </row>
    <row r="71" spans="2:3">
      <c r="B71" s="184"/>
      <c r="C71" s="184"/>
    </row>
    <row r="72" spans="2:3">
      <c r="B72" s="184"/>
      <c r="C72" s="184"/>
    </row>
    <row r="73" spans="2:3">
      <c r="B73" s="184"/>
      <c r="C73" s="184"/>
    </row>
    <row r="74" spans="2:3">
      <c r="B74" s="184"/>
      <c r="C74" s="184"/>
    </row>
    <row r="75" spans="2:3">
      <c r="B75" s="184"/>
      <c r="C75" s="184"/>
    </row>
    <row r="76" spans="2:3">
      <c r="B76" s="184"/>
      <c r="C76" s="184"/>
    </row>
    <row r="77" spans="2:3">
      <c r="B77" s="184"/>
      <c r="C77" s="184"/>
    </row>
    <row r="78" spans="2:3">
      <c r="B78" s="184"/>
      <c r="C78" s="184"/>
    </row>
    <row r="79" spans="2:3">
      <c r="B79" s="184"/>
      <c r="C79" s="184"/>
    </row>
    <row r="80" spans="2:3">
      <c r="B80" s="184"/>
      <c r="C80" s="184"/>
    </row>
    <row r="81" spans="2:3">
      <c r="B81" s="184"/>
      <c r="C81" s="184"/>
    </row>
    <row r="82" spans="2:3">
      <c r="B82" s="184"/>
      <c r="C82" s="184"/>
    </row>
    <row r="83" spans="2:3">
      <c r="B83" s="184"/>
      <c r="C83" s="184"/>
    </row>
    <row r="84" spans="2:3">
      <c r="B84" s="184"/>
      <c r="C84" s="184"/>
    </row>
    <row r="85" spans="2:3">
      <c r="B85" s="184"/>
      <c r="C85" s="184"/>
    </row>
    <row r="86" spans="2:3">
      <c r="B86" s="184"/>
      <c r="C86" s="184"/>
    </row>
    <row r="87" spans="2:3">
      <c r="B87" s="184"/>
      <c r="C87" s="184"/>
    </row>
    <row r="88" spans="2:3">
      <c r="B88" s="184"/>
      <c r="C88" s="184"/>
    </row>
    <row r="89" spans="2:3">
      <c r="B89" s="184"/>
      <c r="C89" s="184"/>
    </row>
    <row r="90" spans="2:3">
      <c r="B90" s="184"/>
      <c r="C90" s="184"/>
    </row>
    <row r="91" spans="2:3">
      <c r="B91" s="184"/>
      <c r="C91" s="184"/>
    </row>
  </sheetData>
  <mergeCells count="6">
    <mergeCell ref="B1:C1"/>
    <mergeCell ref="D1:E1"/>
    <mergeCell ref="F1:G1"/>
    <mergeCell ref="B2:C2"/>
    <mergeCell ref="D2:E2"/>
    <mergeCell ref="F2:G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4:I32"/>
  <sheetViews>
    <sheetView showGridLines="0" topLeftCell="A7" workbookViewId="0">
      <selection activeCell="A12" sqref="A12"/>
    </sheetView>
  </sheetViews>
  <sheetFormatPr baseColWidth="10" defaultColWidth="11.42578125" defaultRowHeight="15"/>
  <cols>
    <col min="1" max="1" width="12.5703125" style="27" customWidth="1"/>
    <col min="2" max="2" width="14.42578125" style="27" bestFit="1" customWidth="1"/>
    <col min="3" max="3" width="13" style="27" customWidth="1"/>
    <col min="4" max="4" width="18.7109375" style="27" bestFit="1" customWidth="1"/>
    <col min="5" max="5" width="18.5703125" style="27" bestFit="1" customWidth="1"/>
    <col min="6" max="6" width="85.140625" style="27" customWidth="1"/>
    <col min="7" max="8" width="11.85546875" style="27" customWidth="1"/>
    <col min="9" max="9" width="2" style="170" hidden="1" customWidth="1"/>
    <col min="10" max="10" width="11.85546875" style="27" customWidth="1"/>
    <col min="11" max="16384" width="11.42578125" style="27"/>
  </cols>
  <sheetData>
    <row r="4" spans="1:9" ht="33.75" customHeight="1">
      <c r="A4" s="231" t="str">
        <f ca="1">IF(Hilfe!B1=YEAR(TODAY()),"Fondswechseleingaben","Version ist ungültig!")</f>
        <v>Fondswechseleingaben</v>
      </c>
      <c r="B4" s="231"/>
      <c r="C4" s="231"/>
      <c r="D4" s="231"/>
      <c r="E4" s="231"/>
      <c r="F4" s="31"/>
      <c r="G4" s="31"/>
    </row>
    <row r="6" spans="1:9">
      <c r="A6" s="274" t="s">
        <v>36</v>
      </c>
      <c r="B6" s="274"/>
      <c r="C6" s="172">
        <f>MIN(Hilfe!B18-1,C8)</f>
        <v>3</v>
      </c>
      <c r="D6" s="27" t="s">
        <v>39</v>
      </c>
      <c r="E6" s="35">
        <f>C11/C6</f>
        <v>0.33333333333333331</v>
      </c>
    </row>
    <row r="7" spans="1:9">
      <c r="A7" s="274" t="s">
        <v>37</v>
      </c>
      <c r="B7" s="274"/>
      <c r="C7" s="28">
        <f>ROUNDUP(C8/(C6+1),0)</f>
        <v>3</v>
      </c>
    </row>
    <row r="8" spans="1:9">
      <c r="A8" s="274" t="s">
        <v>14</v>
      </c>
      <c r="B8" s="274"/>
      <c r="C8" s="28">
        <f>Eingabe!C9</f>
        <v>12</v>
      </c>
    </row>
    <row r="10" spans="1:9" s="2" customFormat="1" ht="38.25">
      <c r="A10" s="116" t="s">
        <v>38</v>
      </c>
      <c r="B10" s="117" t="s">
        <v>36</v>
      </c>
      <c r="C10" s="118" t="s">
        <v>11</v>
      </c>
      <c r="D10" s="119" t="s">
        <v>12</v>
      </c>
      <c r="E10" s="119" t="s">
        <v>116</v>
      </c>
      <c r="F10" s="30"/>
      <c r="I10" s="171"/>
    </row>
    <row r="11" spans="1:9" s="2" customFormat="1">
      <c r="A11" s="33">
        <v>0</v>
      </c>
      <c r="B11" s="48">
        <v>0</v>
      </c>
      <c r="C11" s="128">
        <f>Eingabe!C18</f>
        <v>1</v>
      </c>
      <c r="D11" s="128">
        <f>Eingabe!E18</f>
        <v>0</v>
      </c>
      <c r="E11" s="34">
        <f>1-C11-D11</f>
        <v>0</v>
      </c>
      <c r="F11" s="275"/>
      <c r="G11" s="275"/>
      <c r="H11" s="275"/>
      <c r="I11" s="171">
        <f>IF(A12=A11,0,1)</f>
        <v>1</v>
      </c>
    </row>
    <row r="12" spans="1:9">
      <c r="A12" s="77">
        <f>IF($C$7*B12&gt;=$C$8,A11,$C$7*B12)</f>
        <v>3</v>
      </c>
      <c r="B12" s="49">
        <v>1</v>
      </c>
      <c r="C12" s="21">
        <f t="shared" ref="C12:C31" si="0">IF($C$6=0,0,MAX(C11-$E$6,0))</f>
        <v>0.66666666666666674</v>
      </c>
      <c r="D12" s="37">
        <f t="shared" ref="D12:D31" si="1">IF($C$6=0,0,MAX(D11-$E$6,0))</f>
        <v>0</v>
      </c>
      <c r="E12" s="34">
        <f t="shared" ref="E12:E31" si="2">1-C12-D12</f>
        <v>0.33333333333333326</v>
      </c>
      <c r="F12" s="98" t="str">
        <f>IF(C12+D12+E12=1,IF(A12&lt;A11,"ACHTUNG!, Wechsel im Jahr muss immer größer oder gleich dem Wechsel des Vorjahres sein!",""),"ACHTUNG: Es muss immer 100% investiert werden!")</f>
        <v/>
      </c>
      <c r="I12" s="171">
        <f t="shared" ref="I12:I30" si="3">IF(A13=A12,0,1)</f>
        <v>1</v>
      </c>
    </row>
    <row r="13" spans="1:9">
      <c r="A13" s="77">
        <f>IF($C$7*B13&gt;=$C$8,A12,$C$7*B13)</f>
        <v>6</v>
      </c>
      <c r="B13" s="49">
        <v>2</v>
      </c>
      <c r="C13" s="21">
        <f t="shared" si="0"/>
        <v>0.33333333333333343</v>
      </c>
      <c r="D13" s="37">
        <f t="shared" si="1"/>
        <v>0</v>
      </c>
      <c r="E13" s="34">
        <f t="shared" si="2"/>
        <v>0.66666666666666652</v>
      </c>
      <c r="F13" s="98" t="str">
        <f t="shared" ref="F13:F31" si="4">IF(C13+D13+E13=1,IF(A13&lt;A12,"ACHTUNG!, Wechsel im Jahr muss immer größer oder gleich dem Wechsel des Vorjahres sein!",""),"ACHTUNG: Es muss immer 100% investiert werden!")</f>
        <v/>
      </c>
      <c r="I13" s="171">
        <f t="shared" si="3"/>
        <v>1</v>
      </c>
    </row>
    <row r="14" spans="1:9">
      <c r="A14" s="77">
        <f>IF($C$7*B14&gt;=$C$8,A13,$C$7*B14)</f>
        <v>9</v>
      </c>
      <c r="B14" s="49">
        <v>3</v>
      </c>
      <c r="C14" s="21">
        <f t="shared" si="0"/>
        <v>1.1102230246251565E-16</v>
      </c>
      <c r="D14" s="37">
        <f t="shared" si="1"/>
        <v>0</v>
      </c>
      <c r="E14" s="34">
        <f t="shared" si="2"/>
        <v>0.99999999999999989</v>
      </c>
      <c r="F14" s="98" t="str">
        <f t="shared" si="4"/>
        <v/>
      </c>
      <c r="I14" s="171">
        <f t="shared" si="3"/>
        <v>0</v>
      </c>
    </row>
    <row r="15" spans="1:9">
      <c r="A15" s="77">
        <f t="shared" ref="A15:A19" si="5">IF($C$7*B15&gt;=$C$8,A14,$C$7*B15)</f>
        <v>9</v>
      </c>
      <c r="B15" s="49">
        <v>4</v>
      </c>
      <c r="C15" s="21">
        <f t="shared" si="0"/>
        <v>0</v>
      </c>
      <c r="D15" s="37">
        <f t="shared" si="1"/>
        <v>0</v>
      </c>
      <c r="E15" s="34">
        <f t="shared" si="2"/>
        <v>1</v>
      </c>
      <c r="F15" s="98" t="str">
        <f t="shared" si="4"/>
        <v/>
      </c>
      <c r="I15" s="171">
        <f t="shared" si="3"/>
        <v>0</v>
      </c>
    </row>
    <row r="16" spans="1:9">
      <c r="A16" s="77">
        <f t="shared" si="5"/>
        <v>9</v>
      </c>
      <c r="B16" s="49">
        <v>5</v>
      </c>
      <c r="C16" s="21">
        <f t="shared" si="0"/>
        <v>0</v>
      </c>
      <c r="D16" s="37">
        <f t="shared" si="1"/>
        <v>0</v>
      </c>
      <c r="E16" s="34">
        <f t="shared" si="2"/>
        <v>1</v>
      </c>
      <c r="F16" s="98" t="str">
        <f t="shared" si="4"/>
        <v/>
      </c>
      <c r="I16" s="171">
        <f t="shared" si="3"/>
        <v>0</v>
      </c>
    </row>
    <row r="17" spans="1:9">
      <c r="A17" s="77">
        <f t="shared" si="5"/>
        <v>9</v>
      </c>
      <c r="B17" s="49">
        <v>6</v>
      </c>
      <c r="C17" s="21">
        <f t="shared" si="0"/>
        <v>0</v>
      </c>
      <c r="D17" s="37">
        <f t="shared" si="1"/>
        <v>0</v>
      </c>
      <c r="E17" s="34">
        <f t="shared" si="2"/>
        <v>1</v>
      </c>
      <c r="F17" s="98" t="str">
        <f t="shared" si="4"/>
        <v/>
      </c>
      <c r="I17" s="171">
        <f t="shared" si="3"/>
        <v>0</v>
      </c>
    </row>
    <row r="18" spans="1:9">
      <c r="A18" s="77">
        <f t="shared" si="5"/>
        <v>9</v>
      </c>
      <c r="B18" s="49">
        <v>7</v>
      </c>
      <c r="C18" s="21">
        <f t="shared" si="0"/>
        <v>0</v>
      </c>
      <c r="D18" s="37">
        <f t="shared" si="1"/>
        <v>0</v>
      </c>
      <c r="E18" s="34">
        <f t="shared" si="2"/>
        <v>1</v>
      </c>
      <c r="F18" s="98" t="str">
        <f t="shared" si="4"/>
        <v/>
      </c>
      <c r="I18" s="171">
        <f t="shared" si="3"/>
        <v>0</v>
      </c>
    </row>
    <row r="19" spans="1:9">
      <c r="A19" s="77">
        <f t="shared" si="5"/>
        <v>9</v>
      </c>
      <c r="B19" s="49">
        <v>8</v>
      </c>
      <c r="C19" s="21">
        <f t="shared" si="0"/>
        <v>0</v>
      </c>
      <c r="D19" s="37">
        <f t="shared" si="1"/>
        <v>0</v>
      </c>
      <c r="E19" s="34">
        <f t="shared" si="2"/>
        <v>1</v>
      </c>
      <c r="F19" s="98" t="str">
        <f t="shared" si="4"/>
        <v/>
      </c>
      <c r="I19" s="171">
        <f t="shared" si="3"/>
        <v>0</v>
      </c>
    </row>
    <row r="20" spans="1:9">
      <c r="A20" s="77">
        <f t="shared" ref="A20:A31" si="6">IF($C$7*B20&gt;=$C$8,A19,$C$7*B20)</f>
        <v>9</v>
      </c>
      <c r="B20" s="49">
        <v>9</v>
      </c>
      <c r="C20" s="21">
        <f t="shared" si="0"/>
        <v>0</v>
      </c>
      <c r="D20" s="37">
        <f t="shared" si="1"/>
        <v>0</v>
      </c>
      <c r="E20" s="34">
        <f t="shared" si="2"/>
        <v>1</v>
      </c>
      <c r="F20" s="98" t="str">
        <f t="shared" si="4"/>
        <v/>
      </c>
      <c r="I20" s="171">
        <f t="shared" si="3"/>
        <v>0</v>
      </c>
    </row>
    <row r="21" spans="1:9">
      <c r="A21" s="77">
        <f t="shared" si="6"/>
        <v>9</v>
      </c>
      <c r="B21" s="49">
        <v>10</v>
      </c>
      <c r="C21" s="21">
        <f t="shared" si="0"/>
        <v>0</v>
      </c>
      <c r="D21" s="37">
        <f t="shared" si="1"/>
        <v>0</v>
      </c>
      <c r="E21" s="34">
        <f t="shared" si="2"/>
        <v>1</v>
      </c>
      <c r="F21" s="98" t="str">
        <f t="shared" si="4"/>
        <v/>
      </c>
      <c r="I21" s="171">
        <f t="shared" si="3"/>
        <v>0</v>
      </c>
    </row>
    <row r="22" spans="1:9">
      <c r="A22" s="77">
        <f t="shared" si="6"/>
        <v>9</v>
      </c>
      <c r="B22" s="49">
        <v>11</v>
      </c>
      <c r="C22" s="21">
        <f t="shared" si="0"/>
        <v>0</v>
      </c>
      <c r="D22" s="37">
        <f t="shared" si="1"/>
        <v>0</v>
      </c>
      <c r="E22" s="34">
        <f t="shared" si="2"/>
        <v>1</v>
      </c>
      <c r="F22" s="98" t="str">
        <f t="shared" si="4"/>
        <v/>
      </c>
      <c r="I22" s="171">
        <f t="shared" si="3"/>
        <v>0</v>
      </c>
    </row>
    <row r="23" spans="1:9">
      <c r="A23" s="77">
        <f t="shared" si="6"/>
        <v>9</v>
      </c>
      <c r="B23" s="49">
        <v>12</v>
      </c>
      <c r="C23" s="21">
        <f t="shared" si="0"/>
        <v>0</v>
      </c>
      <c r="D23" s="37">
        <f t="shared" si="1"/>
        <v>0</v>
      </c>
      <c r="E23" s="34">
        <f t="shared" si="2"/>
        <v>1</v>
      </c>
      <c r="F23" s="98" t="str">
        <f t="shared" si="4"/>
        <v/>
      </c>
      <c r="I23" s="171">
        <f t="shared" si="3"/>
        <v>0</v>
      </c>
    </row>
    <row r="24" spans="1:9">
      <c r="A24" s="77">
        <f t="shared" si="6"/>
        <v>9</v>
      </c>
      <c r="B24" s="49">
        <v>13</v>
      </c>
      <c r="C24" s="21">
        <f t="shared" si="0"/>
        <v>0</v>
      </c>
      <c r="D24" s="37">
        <f t="shared" si="1"/>
        <v>0</v>
      </c>
      <c r="E24" s="34">
        <f t="shared" si="2"/>
        <v>1</v>
      </c>
      <c r="F24" s="98" t="str">
        <f t="shared" si="4"/>
        <v/>
      </c>
      <c r="I24" s="171">
        <f t="shared" si="3"/>
        <v>0</v>
      </c>
    </row>
    <row r="25" spans="1:9">
      <c r="A25" s="77">
        <f t="shared" si="6"/>
        <v>9</v>
      </c>
      <c r="B25" s="49">
        <v>14</v>
      </c>
      <c r="C25" s="21">
        <f t="shared" si="0"/>
        <v>0</v>
      </c>
      <c r="D25" s="37">
        <f t="shared" si="1"/>
        <v>0</v>
      </c>
      <c r="E25" s="34">
        <f t="shared" si="2"/>
        <v>1</v>
      </c>
      <c r="F25" s="98" t="str">
        <f t="shared" si="4"/>
        <v/>
      </c>
      <c r="I25" s="171">
        <f t="shared" si="3"/>
        <v>0</v>
      </c>
    </row>
    <row r="26" spans="1:9">
      <c r="A26" s="77">
        <f t="shared" si="6"/>
        <v>9</v>
      </c>
      <c r="B26" s="49">
        <v>15</v>
      </c>
      <c r="C26" s="21">
        <f t="shared" si="0"/>
        <v>0</v>
      </c>
      <c r="D26" s="37">
        <f t="shared" si="1"/>
        <v>0</v>
      </c>
      <c r="E26" s="34">
        <f t="shared" si="2"/>
        <v>1</v>
      </c>
      <c r="F26" s="98" t="str">
        <f t="shared" si="4"/>
        <v/>
      </c>
      <c r="I26" s="171">
        <f t="shared" si="3"/>
        <v>0</v>
      </c>
    </row>
    <row r="27" spans="1:9">
      <c r="A27" s="77">
        <f t="shared" si="6"/>
        <v>9</v>
      </c>
      <c r="B27" s="49">
        <v>16</v>
      </c>
      <c r="C27" s="21">
        <f t="shared" si="0"/>
        <v>0</v>
      </c>
      <c r="D27" s="37">
        <f t="shared" si="1"/>
        <v>0</v>
      </c>
      <c r="E27" s="34">
        <f t="shared" si="2"/>
        <v>1</v>
      </c>
      <c r="F27" s="98" t="str">
        <f t="shared" si="4"/>
        <v/>
      </c>
      <c r="I27" s="171">
        <f t="shared" si="3"/>
        <v>0</v>
      </c>
    </row>
    <row r="28" spans="1:9">
      <c r="A28" s="77">
        <f t="shared" si="6"/>
        <v>9</v>
      </c>
      <c r="B28" s="49">
        <v>17</v>
      </c>
      <c r="C28" s="21">
        <f t="shared" si="0"/>
        <v>0</v>
      </c>
      <c r="D28" s="37">
        <f t="shared" si="1"/>
        <v>0</v>
      </c>
      <c r="E28" s="34">
        <f t="shared" si="2"/>
        <v>1</v>
      </c>
      <c r="F28" s="98" t="str">
        <f t="shared" si="4"/>
        <v/>
      </c>
      <c r="I28" s="171">
        <f t="shared" si="3"/>
        <v>0</v>
      </c>
    </row>
    <row r="29" spans="1:9">
      <c r="A29" s="77">
        <f t="shared" si="6"/>
        <v>9</v>
      </c>
      <c r="B29" s="49">
        <v>18</v>
      </c>
      <c r="C29" s="21">
        <f t="shared" si="0"/>
        <v>0</v>
      </c>
      <c r="D29" s="37">
        <f t="shared" si="1"/>
        <v>0</v>
      </c>
      <c r="E29" s="34">
        <f t="shared" si="2"/>
        <v>1</v>
      </c>
      <c r="F29" s="98" t="str">
        <f t="shared" si="4"/>
        <v/>
      </c>
      <c r="I29" s="171">
        <f t="shared" si="3"/>
        <v>0</v>
      </c>
    </row>
    <row r="30" spans="1:9">
      <c r="A30" s="77">
        <f t="shared" si="6"/>
        <v>9</v>
      </c>
      <c r="B30" s="49">
        <v>19</v>
      </c>
      <c r="C30" s="21">
        <f t="shared" si="0"/>
        <v>0</v>
      </c>
      <c r="D30" s="37">
        <f t="shared" si="1"/>
        <v>0</v>
      </c>
      <c r="E30" s="34">
        <f t="shared" si="2"/>
        <v>1</v>
      </c>
      <c r="F30" s="98" t="str">
        <f t="shared" si="4"/>
        <v/>
      </c>
      <c r="I30" s="171">
        <f t="shared" si="3"/>
        <v>0</v>
      </c>
    </row>
    <row r="31" spans="1:9">
      <c r="A31" s="77">
        <f t="shared" si="6"/>
        <v>9</v>
      </c>
      <c r="B31" s="49">
        <v>20</v>
      </c>
      <c r="C31" s="21">
        <f t="shared" si="0"/>
        <v>0</v>
      </c>
      <c r="D31" s="37">
        <f t="shared" si="1"/>
        <v>0</v>
      </c>
      <c r="E31" s="34">
        <f t="shared" si="2"/>
        <v>1</v>
      </c>
      <c r="F31" s="98" t="str">
        <f t="shared" si="4"/>
        <v/>
      </c>
      <c r="I31" s="170">
        <f>IF(C6=0,0,SUM(I11:I30))</f>
        <v>3</v>
      </c>
    </row>
    <row r="32" spans="1:9" s="50" customFormat="1">
      <c r="A32" s="50">
        <v>0</v>
      </c>
      <c r="B32" s="50">
        <v>21</v>
      </c>
      <c r="C32" s="50">
        <v>0</v>
      </c>
      <c r="D32" s="50">
        <v>0</v>
      </c>
      <c r="E32" s="50">
        <v>0</v>
      </c>
      <c r="I32" s="170"/>
    </row>
  </sheetData>
  <sheetProtection algorithmName="SHA-512" hashValue="3O82fm8k/viRKG/m58+p1c/gvmUsOqWkcpgh/Bu+xJ8l2efnoW7omuG6mZyRCZTfg2zrxx0CON52IyqrA7rABQ==" saltValue="tLdGABscsjMkQK+BGwf4Mw==" spinCount="100000" sheet="1" objects="1" scenarios="1" selectLockedCells="1"/>
  <mergeCells count="5">
    <mergeCell ref="A6:B6"/>
    <mergeCell ref="A7:B7"/>
    <mergeCell ref="A8:B8"/>
    <mergeCell ref="A4:E4"/>
    <mergeCell ref="F11:H11"/>
  </mergeCells>
  <conditionalFormatting sqref="E11:E31">
    <cfRule type="cellIs" dxfId="7" priority="1" operator="lessThan">
      <formula>0</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C11"/>
  <sheetViews>
    <sheetView showGridLines="0" workbookViewId="0">
      <selection activeCell="G23" sqref="G23"/>
    </sheetView>
  </sheetViews>
  <sheetFormatPr baseColWidth="10" defaultRowHeight="15"/>
  <cols>
    <col min="1" max="1" width="25.42578125" bestFit="1" customWidth="1"/>
    <col min="2" max="2" width="12" bestFit="1" customWidth="1"/>
  </cols>
  <sheetData>
    <row r="1" spans="1:3">
      <c r="A1" t="s">
        <v>19</v>
      </c>
    </row>
    <row r="2" spans="1:3">
      <c r="A2" s="5">
        <f>'Berechnung Ratierlich heute'!M1</f>
        <v>0</v>
      </c>
      <c r="B2" s="108">
        <f>Eingabe!C39</f>
        <v>158048.73404191731</v>
      </c>
      <c r="C2" s="75">
        <f>B7</f>
        <v>174598.17813343453</v>
      </c>
    </row>
    <row r="3" spans="1:3">
      <c r="A3" s="5">
        <f>'Berechnung Ratierlich 2%'!M1</f>
        <v>0.02</v>
      </c>
      <c r="B3" s="108">
        <f>Eingabe!C40</f>
        <v>149607.8331983973</v>
      </c>
      <c r="C3" s="97">
        <f>C2</f>
        <v>174598.17813343453</v>
      </c>
    </row>
    <row r="4" spans="1:3">
      <c r="A4" s="5">
        <f>'Berechnung Ratierlich 4%'!M1</f>
        <v>0.04</v>
      </c>
      <c r="B4" s="108">
        <f>Eingabe!C41</f>
        <v>141544.38732876984</v>
      </c>
      <c r="C4" s="97">
        <f t="shared" ref="C4:C9" si="0">C3</f>
        <v>174598.17813343453</v>
      </c>
    </row>
    <row r="5" spans="1:3">
      <c r="A5" s="94"/>
      <c r="B5" s="94"/>
      <c r="C5" s="97">
        <f t="shared" si="0"/>
        <v>174598.17813343453</v>
      </c>
    </row>
    <row r="6" spans="1:3">
      <c r="A6" s="94" t="s">
        <v>65</v>
      </c>
      <c r="B6" s="75">
        <f>Eingabe!G39</f>
        <v>167011.58050000004</v>
      </c>
      <c r="C6" s="97">
        <f t="shared" si="0"/>
        <v>174598.17813343453</v>
      </c>
    </row>
    <row r="7" spans="1:3">
      <c r="A7" s="94" t="s">
        <v>56</v>
      </c>
      <c r="B7" s="75">
        <f>Eingabe!G40</f>
        <v>174598.17813343453</v>
      </c>
      <c r="C7" s="97">
        <f t="shared" si="0"/>
        <v>174598.17813343453</v>
      </c>
    </row>
    <row r="8" spans="1:3">
      <c r="A8" s="94" t="str">
        <f>Eingabe!E41</f>
        <v>Teilentnahmen (über  20 J.)</v>
      </c>
      <c r="B8" s="75">
        <f>Eingabe!G41</f>
        <v>175935.11504631594</v>
      </c>
      <c r="C8" s="97">
        <f t="shared" si="0"/>
        <v>174598.17813343453</v>
      </c>
    </row>
    <row r="9" spans="1:3">
      <c r="A9" s="94" t="s">
        <v>70</v>
      </c>
      <c r="B9" s="75">
        <f>Eingabe!G42</f>
        <v>186376.00000000006</v>
      </c>
      <c r="C9" s="97">
        <f t="shared" si="0"/>
        <v>174598.17813343453</v>
      </c>
    </row>
    <row r="10" spans="1:3">
      <c r="A10" t="s">
        <v>40</v>
      </c>
      <c r="B10" s="75"/>
    </row>
    <row r="11" spans="1:3">
      <c r="A11" s="94" t="s">
        <v>78</v>
      </c>
      <c r="B11" s="97">
        <f>ROUND((MIN(B2:B9)-MIN(B2:B9)/10)/100,0)*100</f>
        <v>127400</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Z106"/>
  <sheetViews>
    <sheetView showGridLines="0" zoomScale="85" zoomScaleNormal="85" workbookViewId="0">
      <pane ySplit="3" topLeftCell="A4" activePane="bottomLeft" state="frozen"/>
      <selection pane="bottomLeft" activeCell="L56" sqref="L56"/>
    </sheetView>
  </sheetViews>
  <sheetFormatPr baseColWidth="10" defaultRowHeight="15"/>
  <cols>
    <col min="1" max="1" width="31.5703125" bestFit="1" customWidth="1"/>
    <col min="3" max="3" width="15.85546875" style="120" customWidth="1"/>
    <col min="4" max="4" width="16.42578125" style="120" customWidth="1"/>
    <col min="5" max="5" width="14.85546875" style="120" customWidth="1"/>
    <col min="6" max="6" width="17.5703125" style="120" customWidth="1"/>
    <col min="7" max="7" width="15.5703125" style="120" bestFit="1" customWidth="1"/>
    <col min="9" max="9" width="8.42578125" style="27" bestFit="1" customWidth="1"/>
    <col min="10" max="13" width="9.28515625" style="63" bestFit="1" customWidth="1"/>
    <col min="14" max="16" width="10.7109375" style="63" bestFit="1" customWidth="1"/>
    <col min="17" max="17" width="9.28515625" bestFit="1" customWidth="1"/>
    <col min="18" max="21" width="10.7109375" bestFit="1" customWidth="1"/>
    <col min="22" max="23" width="11.7109375" bestFit="1" customWidth="1"/>
    <col min="24" max="24" width="6.85546875" style="27" bestFit="1" customWidth="1"/>
    <col min="25" max="30" width="6.140625" style="27" bestFit="1" customWidth="1"/>
    <col min="31" max="31" width="8.140625" bestFit="1" customWidth="1"/>
    <col min="32" max="37" width="7.140625" bestFit="1" customWidth="1"/>
    <col min="38" max="38" width="6" style="94" bestFit="1" customWidth="1"/>
    <col min="39" max="43" width="10.5703125" style="94" bestFit="1" customWidth="1"/>
    <col min="44" max="45" width="12.140625" style="94" bestFit="1" customWidth="1"/>
  </cols>
  <sheetData>
    <row r="1" spans="1:52" ht="15.75" thickBot="1">
      <c r="A1" s="13" t="s">
        <v>2</v>
      </c>
      <c r="B1" s="19">
        <v>2022</v>
      </c>
      <c r="D1" s="298" t="s">
        <v>0</v>
      </c>
      <c r="E1" s="300"/>
      <c r="F1" s="148" t="s">
        <v>137</v>
      </c>
      <c r="G1" s="164" t="s">
        <v>138</v>
      </c>
      <c r="I1" s="276" t="s">
        <v>41</v>
      </c>
      <c r="J1" s="277"/>
      <c r="K1" s="84">
        <v>100</v>
      </c>
      <c r="M1" s="301" t="s">
        <v>73</v>
      </c>
      <c r="N1" s="301"/>
      <c r="O1" s="301"/>
      <c r="P1" s="301"/>
      <c r="Q1" s="301"/>
      <c r="R1" s="301"/>
      <c r="S1" t="s">
        <v>74</v>
      </c>
      <c r="AE1" s="73"/>
      <c r="AF1" s="73"/>
      <c r="AG1" s="73"/>
      <c r="AH1" s="73"/>
      <c r="AI1" s="73"/>
      <c r="AJ1" s="73"/>
      <c r="AK1" s="93"/>
      <c r="AT1" t="s">
        <v>73</v>
      </c>
    </row>
    <row r="2" spans="1:52" ht="15.75" thickBot="1">
      <c r="D2" s="14">
        <v>0.03</v>
      </c>
      <c r="E2" s="15">
        <v>4</v>
      </c>
      <c r="F2" s="147">
        <v>1</v>
      </c>
      <c r="G2" s="15" t="s">
        <v>139</v>
      </c>
      <c r="J2" s="301"/>
      <c r="K2" s="301"/>
      <c r="L2" s="301"/>
      <c r="M2" s="301"/>
      <c r="N2" s="301"/>
      <c r="O2" s="301"/>
      <c r="P2" s="301"/>
      <c r="Q2" s="279"/>
      <c r="R2" s="280"/>
      <c r="S2" s="280"/>
      <c r="T2" s="280"/>
      <c r="U2" s="280"/>
      <c r="V2" s="280"/>
      <c r="W2" s="280"/>
      <c r="X2" s="274"/>
      <c r="Y2" s="274"/>
      <c r="Z2" s="274"/>
      <c r="AA2" s="274"/>
      <c r="AB2" s="274"/>
      <c r="AC2" s="274"/>
      <c r="AD2" s="274"/>
      <c r="AE2" s="279"/>
      <c r="AF2" s="280"/>
      <c r="AG2" s="280"/>
      <c r="AH2" s="280"/>
      <c r="AI2" s="280"/>
      <c r="AJ2" s="280"/>
      <c r="AK2" s="281"/>
      <c r="AL2" s="279"/>
      <c r="AM2" s="280"/>
      <c r="AN2" s="280"/>
      <c r="AO2" s="280"/>
      <c r="AP2" s="280"/>
      <c r="AQ2" s="280"/>
      <c r="AR2" s="280"/>
      <c r="AS2" s="280"/>
      <c r="AT2" s="279"/>
      <c r="AU2" s="280"/>
      <c r="AV2" s="280"/>
      <c r="AW2" s="280"/>
      <c r="AX2" s="280"/>
      <c r="AY2" s="280"/>
      <c r="AZ2" s="281"/>
    </row>
    <row r="3" spans="1:52" ht="15.75" thickBot="1">
      <c r="A3" s="12" t="s">
        <v>23</v>
      </c>
      <c r="B3" s="7">
        <v>3</v>
      </c>
      <c r="D3" s="14">
        <v>0.04</v>
      </c>
      <c r="E3" s="18">
        <f>(E2+2)/100</f>
        <v>0.06</v>
      </c>
      <c r="F3" s="147" t="str">
        <f>IF(F2=1,G1,IF(F2=2,G2,IF(F2=3,G3,IF(F2=4,G4,IF(F2=5,G5,IF(F2=6,G6,G7))))))</f>
        <v>Einzel</v>
      </c>
      <c r="G3" s="15" t="s">
        <v>140</v>
      </c>
      <c r="I3" s="79"/>
      <c r="J3" s="81"/>
      <c r="K3" s="80"/>
      <c r="L3" s="80"/>
      <c r="M3" s="80"/>
      <c r="N3" s="80"/>
      <c r="O3" s="80"/>
      <c r="P3" s="87"/>
      <c r="Q3" s="81"/>
      <c r="R3" s="80"/>
      <c r="S3" s="80"/>
      <c r="T3" s="80"/>
      <c r="U3" s="80"/>
      <c r="V3" s="80"/>
      <c r="W3" s="80"/>
      <c r="X3" s="36"/>
      <c r="Y3" s="78"/>
      <c r="Z3" s="78"/>
      <c r="AA3" s="78"/>
      <c r="AB3" s="78"/>
      <c r="AC3" s="78"/>
      <c r="AD3" s="88"/>
      <c r="AE3" s="81"/>
      <c r="AF3" s="80"/>
      <c r="AG3" s="80"/>
      <c r="AH3" s="80"/>
      <c r="AI3" s="80"/>
      <c r="AJ3" s="80"/>
      <c r="AK3" s="87"/>
      <c r="AM3" s="3"/>
      <c r="AN3" s="3"/>
      <c r="AO3" s="3"/>
      <c r="AP3" s="3"/>
      <c r="AQ3" s="3"/>
      <c r="AR3" s="3"/>
      <c r="AS3" s="3"/>
      <c r="AT3" s="36"/>
      <c r="AU3" s="78"/>
      <c r="AV3" s="78"/>
      <c r="AW3" s="78"/>
      <c r="AX3" s="78"/>
      <c r="AY3" s="78"/>
      <c r="AZ3" s="88"/>
    </row>
    <row r="4" spans="1:52" ht="15.75" thickBot="1">
      <c r="A4" s="8" t="s">
        <v>24</v>
      </c>
      <c r="B4" s="38">
        <f>IF(B3=1,12,IF(B3=2,1,0))</f>
        <v>0</v>
      </c>
      <c r="D4" s="14">
        <v>0.05</v>
      </c>
      <c r="E4" s="15"/>
      <c r="F4" s="147"/>
      <c r="G4" s="15" t="s">
        <v>141</v>
      </c>
      <c r="I4" s="24"/>
      <c r="J4" s="111"/>
      <c r="K4" s="102"/>
      <c r="L4" s="97"/>
      <c r="M4" s="97"/>
      <c r="N4" s="97"/>
      <c r="O4" s="97"/>
      <c r="P4" s="97"/>
      <c r="Q4" s="107"/>
      <c r="R4" s="74"/>
      <c r="S4" s="74"/>
      <c r="T4" s="74"/>
      <c r="U4" s="74"/>
      <c r="V4" s="74"/>
      <c r="W4" s="74"/>
      <c r="X4" s="85"/>
      <c r="Y4" s="86"/>
      <c r="Z4" s="86"/>
      <c r="AA4" s="86"/>
      <c r="AB4" s="86"/>
      <c r="AC4" s="86"/>
      <c r="AD4" s="89"/>
      <c r="AE4" s="106"/>
      <c r="AF4" s="106"/>
      <c r="AG4" s="106"/>
      <c r="AH4" s="106"/>
      <c r="AI4" s="106"/>
      <c r="AJ4" s="106"/>
      <c r="AK4" s="106"/>
      <c r="AL4" s="95"/>
      <c r="AM4" s="109"/>
      <c r="AN4" s="109"/>
      <c r="AO4" s="109"/>
      <c r="AP4" s="109"/>
      <c r="AQ4" s="109"/>
      <c r="AR4" s="109"/>
      <c r="AS4" s="109"/>
      <c r="AT4" s="85"/>
      <c r="AU4" s="86"/>
      <c r="AV4" s="86"/>
      <c r="AW4" s="86"/>
      <c r="AX4" s="86"/>
      <c r="AY4" s="86"/>
      <c r="AZ4" s="89"/>
    </row>
    <row r="5" spans="1:52" ht="15.75" thickBot="1">
      <c r="A5" s="8" t="s">
        <v>25</v>
      </c>
      <c r="B5" s="9"/>
      <c r="D5" s="14">
        <v>0.06</v>
      </c>
      <c r="E5" s="15"/>
      <c r="F5" s="147"/>
      <c r="G5" s="15" t="s">
        <v>142</v>
      </c>
      <c r="J5" s="304" t="s">
        <v>19</v>
      </c>
      <c r="K5" s="305"/>
      <c r="L5" s="181"/>
      <c r="M5" s="181"/>
      <c r="N5" s="181"/>
      <c r="O5" s="181"/>
      <c r="P5" s="181"/>
      <c r="Q5" s="103"/>
      <c r="R5" s="74"/>
      <c r="S5" s="74"/>
      <c r="T5" s="74"/>
      <c r="U5" s="74"/>
      <c r="V5" s="74"/>
      <c r="W5" s="74"/>
      <c r="X5" s="85"/>
      <c r="Y5" s="86"/>
      <c r="Z5" s="86"/>
      <c r="AA5" s="86"/>
      <c r="AB5" s="86"/>
      <c r="AC5" s="86"/>
      <c r="AD5" s="89"/>
      <c r="AE5" s="106"/>
      <c r="AF5" s="106"/>
      <c r="AG5" s="106"/>
      <c r="AH5" s="106"/>
      <c r="AI5" s="106"/>
      <c r="AJ5" s="106"/>
      <c r="AK5" s="106"/>
      <c r="AL5" s="95"/>
      <c r="AM5" s="109"/>
      <c r="AN5" s="109"/>
      <c r="AO5" s="109"/>
      <c r="AP5" s="109"/>
      <c r="AQ5" s="109"/>
      <c r="AR5" s="109"/>
      <c r="AS5" s="109"/>
      <c r="AT5" s="85"/>
      <c r="AU5" s="86"/>
      <c r="AV5" s="86"/>
      <c r="AW5" s="86"/>
      <c r="AX5" s="86"/>
      <c r="AY5" s="86"/>
      <c r="AZ5" s="89"/>
    </row>
    <row r="6" spans="1:52" ht="15.75" thickBot="1">
      <c r="A6" s="10" t="s">
        <v>26</v>
      </c>
      <c r="B6" s="11"/>
      <c r="D6" s="14">
        <v>7.0000000000000007E-2</v>
      </c>
      <c r="E6" s="15"/>
      <c r="F6" s="147"/>
      <c r="G6" s="15" t="s">
        <v>143</v>
      </c>
      <c r="J6" s="180">
        <v>2018</v>
      </c>
      <c r="K6" s="91">
        <v>8.6999999999999994E-3</v>
      </c>
      <c r="L6" s="181"/>
      <c r="M6" s="181"/>
      <c r="N6" s="181"/>
      <c r="O6" s="181"/>
      <c r="P6" s="181"/>
      <c r="Q6" s="103"/>
      <c r="R6" s="74"/>
      <c r="S6" s="74"/>
      <c r="T6" s="74"/>
      <c r="U6" s="74"/>
      <c r="V6" s="74"/>
      <c r="W6" s="74"/>
      <c r="X6" s="85"/>
      <c r="Y6" s="86"/>
      <c r="Z6" s="86"/>
      <c r="AA6" s="86"/>
      <c r="AB6" s="86"/>
      <c r="AC6" s="86"/>
      <c r="AD6" s="89"/>
      <c r="AE6" s="106"/>
      <c r="AF6" s="106"/>
      <c r="AG6" s="106"/>
      <c r="AH6" s="106"/>
      <c r="AI6" s="106"/>
      <c r="AJ6" s="106"/>
      <c r="AK6" s="106"/>
      <c r="AL6" s="95"/>
      <c r="AM6" s="109"/>
      <c r="AN6" s="109"/>
      <c r="AO6" s="109"/>
      <c r="AP6" s="109"/>
      <c r="AQ6" s="109"/>
      <c r="AR6" s="109"/>
      <c r="AS6" s="109"/>
      <c r="AT6" s="85"/>
      <c r="AU6" s="86"/>
      <c r="AV6" s="86"/>
      <c r="AW6" s="86"/>
      <c r="AX6" s="86"/>
      <c r="AY6" s="86"/>
      <c r="AZ6" s="89"/>
    </row>
    <row r="7" spans="1:52" ht="15.75" thickBot="1">
      <c r="D7" s="14">
        <v>0.08</v>
      </c>
      <c r="E7" s="15"/>
      <c r="F7" s="149"/>
      <c r="G7" s="17" t="s">
        <v>144</v>
      </c>
      <c r="J7" s="180">
        <v>2019</v>
      </c>
      <c r="K7" s="91">
        <v>5.1999999999999998E-3</v>
      </c>
      <c r="L7" s="181"/>
      <c r="M7" s="181"/>
      <c r="N7" s="181"/>
      <c r="O7" s="181"/>
      <c r="P7" s="181"/>
      <c r="Q7" s="103"/>
      <c r="R7" s="74"/>
      <c r="S7" s="74"/>
      <c r="T7" s="74"/>
      <c r="U7" s="74"/>
      <c r="V7" s="74"/>
      <c r="W7" s="74"/>
      <c r="X7" s="85"/>
      <c r="Y7" s="86"/>
      <c r="Z7" s="86"/>
      <c r="AA7" s="86"/>
      <c r="AB7" s="86"/>
      <c r="AC7" s="86"/>
      <c r="AD7" s="89"/>
      <c r="AE7" s="106"/>
      <c r="AF7" s="106"/>
      <c r="AG7" s="106"/>
      <c r="AH7" s="106"/>
      <c r="AI7" s="106"/>
      <c r="AJ7" s="106"/>
      <c r="AK7" s="106"/>
      <c r="AL7" s="95"/>
      <c r="AM7" s="109"/>
      <c r="AN7" s="109"/>
      <c r="AO7" s="109"/>
      <c r="AP7" s="109"/>
      <c r="AQ7" s="109"/>
      <c r="AR7" s="109"/>
      <c r="AS7" s="109"/>
      <c r="AT7" s="85"/>
      <c r="AU7" s="86"/>
      <c r="AV7" s="86"/>
      <c r="AW7" s="86"/>
      <c r="AX7" s="86"/>
      <c r="AY7" s="86"/>
      <c r="AZ7" s="89"/>
    </row>
    <row r="8" spans="1:52" ht="15.75" thickBot="1">
      <c r="A8" s="298" t="s">
        <v>1</v>
      </c>
      <c r="B8" s="300"/>
      <c r="D8" s="16">
        <v>0.09</v>
      </c>
      <c r="E8" s="17"/>
      <c r="J8" s="180">
        <v>2020</v>
      </c>
      <c r="K8" s="91">
        <v>6.9999999999999999E-4</v>
      </c>
      <c r="L8" s="181"/>
      <c r="M8" s="181"/>
      <c r="N8" s="181"/>
      <c r="O8" s="181"/>
      <c r="P8" s="181"/>
      <c r="Q8" s="103"/>
      <c r="R8" s="74"/>
      <c r="S8" s="74"/>
      <c r="T8" s="74"/>
      <c r="U8" s="74"/>
      <c r="V8" s="74"/>
      <c r="W8" s="74"/>
      <c r="X8" s="85"/>
      <c r="Y8" s="86"/>
      <c r="Z8" s="86"/>
      <c r="AA8" s="86"/>
      <c r="AB8" s="86"/>
      <c r="AC8" s="86"/>
      <c r="AD8" s="89"/>
      <c r="AE8" s="106"/>
      <c r="AF8" s="106"/>
      <c r="AG8" s="106"/>
      <c r="AH8" s="106"/>
      <c r="AI8" s="106"/>
      <c r="AJ8" s="106"/>
      <c r="AK8" s="106"/>
      <c r="AL8" s="95"/>
      <c r="AM8" s="109"/>
      <c r="AN8" s="109"/>
      <c r="AO8" s="109"/>
      <c r="AP8" s="109"/>
      <c r="AQ8" s="109"/>
      <c r="AR8" s="109"/>
      <c r="AS8" s="109"/>
      <c r="AT8" s="85"/>
      <c r="AU8" s="86"/>
      <c r="AV8" s="86"/>
      <c r="AW8" s="86"/>
      <c r="AX8" s="86"/>
      <c r="AY8" s="86"/>
      <c r="AZ8" s="89"/>
    </row>
    <row r="9" spans="1:52" ht="15.75" thickBot="1">
      <c r="A9" s="8" t="s">
        <v>27</v>
      </c>
      <c r="B9" s="9">
        <v>2</v>
      </c>
      <c r="J9" s="180">
        <v>2021</v>
      </c>
      <c r="K9" s="91">
        <v>0</v>
      </c>
      <c r="L9" s="306" t="s">
        <v>154</v>
      </c>
      <c r="M9" s="307"/>
      <c r="N9" s="307"/>
      <c r="O9" s="307"/>
      <c r="P9" s="307"/>
      <c r="Q9" s="103"/>
      <c r="R9" s="74"/>
      <c r="S9" s="74"/>
      <c r="T9" s="74"/>
      <c r="U9" s="74"/>
      <c r="V9" s="74"/>
      <c r="W9" s="74"/>
      <c r="X9" s="85"/>
      <c r="Y9" s="86"/>
      <c r="Z9" s="86"/>
      <c r="AA9" s="86"/>
      <c r="AB9" s="86"/>
      <c r="AC9" s="86"/>
      <c r="AD9" s="89"/>
      <c r="AE9" s="106"/>
      <c r="AF9" s="106"/>
      <c r="AG9" s="106"/>
      <c r="AH9" s="106"/>
      <c r="AI9" s="106"/>
      <c r="AJ9" s="106"/>
      <c r="AK9" s="106"/>
      <c r="AL9" s="95"/>
      <c r="AM9" s="109"/>
      <c r="AN9" s="109"/>
      <c r="AO9" s="109"/>
      <c r="AP9" s="109"/>
      <c r="AQ9" s="109"/>
      <c r="AR9" s="109"/>
      <c r="AS9" s="109"/>
      <c r="AT9" s="85"/>
      <c r="AU9" s="86"/>
      <c r="AV9" s="86"/>
      <c r="AW9" s="86"/>
      <c r="AX9" s="86"/>
      <c r="AY9" s="86"/>
      <c r="AZ9" s="89"/>
    </row>
    <row r="10" spans="1:52" ht="15.75" thickBot="1">
      <c r="A10" s="10" t="s">
        <v>28</v>
      </c>
      <c r="B10" s="11"/>
      <c r="D10" s="298" t="s">
        <v>75</v>
      </c>
      <c r="E10" s="299"/>
      <c r="F10" s="300"/>
      <c r="J10" s="180">
        <v>2022</v>
      </c>
      <c r="K10" s="91">
        <v>0</v>
      </c>
      <c r="L10" s="306" t="s">
        <v>159</v>
      </c>
      <c r="M10" s="307"/>
      <c r="N10" s="307"/>
      <c r="O10" s="307"/>
      <c r="P10" s="307"/>
      <c r="Q10" s="103"/>
      <c r="R10" s="74"/>
      <c r="S10" s="74"/>
      <c r="T10" s="74"/>
      <c r="U10" s="74"/>
      <c r="V10" s="74"/>
      <c r="W10" s="74"/>
      <c r="X10" s="85"/>
      <c r="Y10" s="86"/>
      <c r="Z10" s="86"/>
      <c r="AA10" s="86"/>
      <c r="AB10" s="86"/>
      <c r="AC10" s="86"/>
      <c r="AD10" s="89"/>
      <c r="AE10" s="106"/>
      <c r="AF10" s="106"/>
      <c r="AG10" s="106"/>
      <c r="AH10" s="106"/>
      <c r="AI10" s="106"/>
      <c r="AJ10" s="106"/>
      <c r="AK10" s="106"/>
      <c r="AL10" s="95"/>
      <c r="AM10" s="109"/>
      <c r="AN10" s="109"/>
      <c r="AO10" s="109"/>
      <c r="AP10" s="109"/>
      <c r="AQ10" s="109"/>
      <c r="AR10" s="109"/>
      <c r="AS10" s="109"/>
      <c r="AT10" s="85"/>
      <c r="AU10" s="86"/>
      <c r="AV10" s="86"/>
      <c r="AW10" s="86"/>
      <c r="AX10" s="86"/>
      <c r="AY10" s="86"/>
      <c r="AZ10" s="89"/>
    </row>
    <row r="11" spans="1:52" ht="15.75" thickBot="1">
      <c r="D11" s="285" t="s">
        <v>77</v>
      </c>
      <c r="E11" s="280"/>
      <c r="F11" s="15">
        <v>2</v>
      </c>
      <c r="J11" s="180"/>
      <c r="K11" s="91"/>
      <c r="L11" s="181"/>
      <c r="M11" s="181"/>
      <c r="N11" s="181"/>
      <c r="O11" s="181"/>
      <c r="P11" s="181"/>
      <c r="Q11" s="103"/>
      <c r="R11" s="74"/>
      <c r="S11" s="74"/>
      <c r="T11" s="74"/>
      <c r="U11" s="74"/>
      <c r="V11" s="74"/>
      <c r="W11" s="74"/>
      <c r="X11" s="85"/>
      <c r="Y11" s="86"/>
      <c r="Z11" s="86"/>
      <c r="AA11" s="86"/>
      <c r="AB11" s="86"/>
      <c r="AC11" s="86"/>
      <c r="AD11" s="89"/>
      <c r="AE11" s="106"/>
      <c r="AF11" s="106"/>
      <c r="AG11" s="106"/>
      <c r="AH11" s="106"/>
      <c r="AI11" s="106"/>
      <c r="AJ11" s="106"/>
      <c r="AK11" s="106"/>
      <c r="AL11" s="95"/>
      <c r="AM11" s="109"/>
      <c r="AN11" s="109"/>
      <c r="AO11" s="109"/>
      <c r="AP11" s="109"/>
      <c r="AQ11" s="109"/>
      <c r="AR11" s="109"/>
      <c r="AS11" s="109"/>
      <c r="AT11" s="85"/>
      <c r="AU11" s="86"/>
      <c r="AV11" s="86"/>
      <c r="AW11" s="86"/>
      <c r="AX11" s="86"/>
      <c r="AY11" s="86"/>
      <c r="AZ11" s="89"/>
    </row>
    <row r="12" spans="1:52" ht="15.75" thickBot="1">
      <c r="A12" s="298" t="s">
        <v>29</v>
      </c>
      <c r="B12" s="300"/>
      <c r="D12" s="302" t="s">
        <v>76</v>
      </c>
      <c r="E12" s="303"/>
      <c r="F12" s="17"/>
      <c r="J12" s="180"/>
      <c r="K12" s="91"/>
      <c r="L12" s="181"/>
      <c r="M12" s="181"/>
      <c r="N12" s="181"/>
      <c r="O12" s="181"/>
      <c r="P12" s="181"/>
      <c r="Q12" s="103"/>
      <c r="R12" s="74"/>
      <c r="S12" s="74"/>
      <c r="T12" s="74"/>
      <c r="U12" s="74"/>
      <c r="V12" s="74"/>
      <c r="W12" s="74"/>
      <c r="X12" s="85"/>
      <c r="Y12" s="86"/>
      <c r="Z12" s="86"/>
      <c r="AA12" s="86"/>
      <c r="AB12" s="86"/>
      <c r="AC12" s="86"/>
      <c r="AD12" s="89"/>
      <c r="AE12" s="106"/>
      <c r="AF12" s="106"/>
      <c r="AG12" s="106"/>
      <c r="AH12" s="106"/>
      <c r="AI12" s="106"/>
      <c r="AJ12" s="106"/>
      <c r="AK12" s="106"/>
      <c r="AL12" s="95"/>
      <c r="AM12" s="109"/>
      <c r="AN12" s="109"/>
      <c r="AO12" s="109"/>
      <c r="AP12" s="109"/>
      <c r="AQ12" s="109"/>
      <c r="AR12" s="109"/>
      <c r="AS12" s="109"/>
      <c r="AT12" s="85"/>
      <c r="AU12" s="86"/>
      <c r="AV12" s="86"/>
      <c r="AW12" s="86"/>
      <c r="AX12" s="86"/>
      <c r="AY12" s="86"/>
      <c r="AZ12" s="89"/>
    </row>
    <row r="13" spans="1:52" ht="15.75" thickBot="1">
      <c r="A13" s="8" t="s">
        <v>30</v>
      </c>
      <c r="B13" s="9">
        <v>1</v>
      </c>
      <c r="J13" s="180"/>
      <c r="K13" s="91"/>
      <c r="L13" s="181"/>
      <c r="M13" s="181"/>
      <c r="N13" s="181"/>
      <c r="O13" s="181"/>
      <c r="P13" s="181"/>
      <c r="Q13" s="103"/>
      <c r="R13" s="74"/>
      <c r="S13" s="74"/>
      <c r="T13" s="74"/>
      <c r="U13" s="74"/>
      <c r="V13" s="74"/>
      <c r="W13" s="74"/>
      <c r="X13" s="85"/>
      <c r="Y13" s="86"/>
      <c r="Z13" s="86"/>
      <c r="AA13" s="86"/>
      <c r="AB13" s="86"/>
      <c r="AC13" s="86"/>
      <c r="AD13" s="89"/>
      <c r="AE13" s="106"/>
      <c r="AF13" s="106"/>
      <c r="AG13" s="106"/>
      <c r="AH13" s="106"/>
      <c r="AI13" s="106"/>
      <c r="AJ13" s="106"/>
      <c r="AK13" s="106"/>
      <c r="AL13" s="95"/>
      <c r="AM13" s="109"/>
      <c r="AN13" s="109"/>
      <c r="AO13" s="109"/>
      <c r="AP13" s="109"/>
      <c r="AQ13" s="109"/>
      <c r="AR13" s="109"/>
      <c r="AS13" s="109"/>
      <c r="AT13" s="85"/>
      <c r="AU13" s="86"/>
      <c r="AV13" s="86"/>
      <c r="AW13" s="86"/>
      <c r="AX13" s="86"/>
      <c r="AY13" s="86"/>
      <c r="AZ13" s="89"/>
    </row>
    <row r="14" spans="1:52" ht="15.75" thickBot="1">
      <c r="A14" s="10" t="s">
        <v>93</v>
      </c>
      <c r="B14" s="38">
        <f>B13-1</f>
        <v>0</v>
      </c>
      <c r="D14" s="168" t="s">
        <v>19</v>
      </c>
      <c r="E14" s="169">
        <v>0</v>
      </c>
      <c r="J14" s="180"/>
      <c r="K14" s="91"/>
      <c r="L14" s="181"/>
      <c r="M14" s="181"/>
      <c r="N14" s="181"/>
      <c r="O14" s="181"/>
      <c r="P14" s="181"/>
      <c r="Q14" s="103"/>
      <c r="R14" s="74"/>
      <c r="S14" s="74"/>
      <c r="T14" s="74"/>
      <c r="U14" s="74"/>
      <c r="V14" s="74"/>
      <c r="W14" s="74"/>
      <c r="X14" s="85"/>
      <c r="Y14" s="86"/>
      <c r="Z14" s="86"/>
      <c r="AA14" s="86"/>
      <c r="AB14" s="86"/>
      <c r="AC14" s="86"/>
      <c r="AD14" s="89"/>
      <c r="AE14" s="106"/>
      <c r="AF14" s="106"/>
      <c r="AG14" s="106"/>
      <c r="AH14" s="106"/>
      <c r="AI14" s="106"/>
      <c r="AJ14" s="106"/>
      <c r="AK14" s="106"/>
      <c r="AL14" s="95"/>
      <c r="AM14" s="109"/>
      <c r="AN14" s="109"/>
      <c r="AO14" s="109"/>
      <c r="AP14" s="109"/>
      <c r="AQ14" s="109"/>
      <c r="AR14" s="109"/>
      <c r="AS14" s="109"/>
      <c r="AT14" s="85"/>
      <c r="AU14" s="86"/>
      <c r="AV14" s="86"/>
      <c r="AW14" s="86"/>
      <c r="AX14" s="86"/>
      <c r="AY14" s="86"/>
      <c r="AZ14" s="89"/>
    </row>
    <row r="15" spans="1:52" ht="15.75" thickBot="1">
      <c r="J15" s="180"/>
      <c r="K15" s="91"/>
      <c r="L15" s="181"/>
      <c r="M15" s="181"/>
      <c r="N15" s="181"/>
      <c r="O15" s="181"/>
      <c r="P15" s="181"/>
      <c r="Q15" s="103"/>
      <c r="R15" s="74"/>
      <c r="S15" s="74"/>
      <c r="T15" s="74"/>
      <c r="U15" s="74"/>
      <c r="V15" s="74"/>
      <c r="W15" s="74"/>
      <c r="X15" s="85"/>
      <c r="Y15" s="86"/>
      <c r="Z15" s="86"/>
      <c r="AA15" s="86"/>
      <c r="AB15" s="86"/>
      <c r="AC15" s="86"/>
      <c r="AD15" s="89"/>
      <c r="AE15" s="106"/>
      <c r="AF15" s="106"/>
      <c r="AG15" s="106"/>
      <c r="AH15" s="106"/>
      <c r="AI15" s="106"/>
      <c r="AJ15" s="106"/>
      <c r="AK15" s="106"/>
      <c r="AL15" s="95"/>
      <c r="AM15" s="109"/>
      <c r="AN15" s="109"/>
      <c r="AO15" s="109"/>
      <c r="AP15" s="109"/>
      <c r="AQ15" s="109"/>
      <c r="AR15" s="109"/>
      <c r="AS15" s="109"/>
      <c r="AT15" s="85"/>
      <c r="AU15" s="86"/>
      <c r="AV15" s="86"/>
      <c r="AW15" s="86"/>
      <c r="AX15" s="86"/>
      <c r="AY15" s="86"/>
      <c r="AZ15" s="89"/>
    </row>
    <row r="16" spans="1:52" ht="15.75" thickBot="1">
      <c r="A16" s="6" t="s">
        <v>33</v>
      </c>
      <c r="B16" s="115">
        <v>8.3999999999999995E-3</v>
      </c>
      <c r="C16" s="276" t="s">
        <v>53</v>
      </c>
      <c r="D16" s="277"/>
      <c r="E16" s="277"/>
      <c r="F16" s="277"/>
      <c r="G16" s="129">
        <f>(Eingabe!G11-Hilfe!B16)*B14</f>
        <v>0</v>
      </c>
      <c r="J16" s="180"/>
      <c r="K16" s="91"/>
      <c r="L16" s="181"/>
      <c r="M16" s="181"/>
      <c r="N16" s="181"/>
      <c r="O16" s="181"/>
      <c r="P16" s="181"/>
      <c r="Q16" s="103"/>
      <c r="R16" s="74"/>
      <c r="S16" s="74"/>
      <c r="T16" s="74"/>
      <c r="U16" s="74"/>
      <c r="V16" s="74"/>
      <c r="W16" s="74"/>
      <c r="X16" s="85"/>
      <c r="Y16" s="86"/>
      <c r="Z16" s="86"/>
      <c r="AA16" s="86"/>
      <c r="AB16" s="86"/>
      <c r="AC16" s="86"/>
      <c r="AD16" s="89"/>
      <c r="AE16" s="106"/>
      <c r="AF16" s="106"/>
      <c r="AG16" s="106"/>
      <c r="AH16" s="106"/>
      <c r="AI16" s="106"/>
      <c r="AJ16" s="106"/>
      <c r="AK16" s="106"/>
      <c r="AL16" s="95"/>
      <c r="AM16" s="109"/>
      <c r="AN16" s="109"/>
      <c r="AO16" s="109"/>
      <c r="AP16" s="109"/>
      <c r="AQ16" s="109"/>
      <c r="AR16" s="109"/>
      <c r="AS16" s="109"/>
      <c r="AT16" s="85"/>
      <c r="AU16" s="86"/>
      <c r="AV16" s="86"/>
      <c r="AW16" s="86"/>
      <c r="AX16" s="86"/>
      <c r="AY16" s="86"/>
      <c r="AZ16" s="89"/>
    </row>
    <row r="17" spans="1:52" ht="15.75" thickBot="1">
      <c r="J17" s="180"/>
      <c r="K17" s="91"/>
      <c r="L17" s="181"/>
      <c r="M17" s="181"/>
      <c r="N17" s="181"/>
      <c r="O17" s="181"/>
      <c r="P17" s="181"/>
      <c r="Q17" s="103"/>
      <c r="R17" s="74"/>
      <c r="S17" s="74"/>
      <c r="T17" s="74"/>
      <c r="U17" s="74"/>
      <c r="V17" s="74"/>
      <c r="W17" s="74"/>
      <c r="X17" s="85"/>
      <c r="Y17" s="86"/>
      <c r="Z17" s="86"/>
      <c r="AA17" s="86"/>
      <c r="AB17" s="86"/>
      <c r="AC17" s="86"/>
      <c r="AD17" s="89"/>
      <c r="AE17" s="106"/>
      <c r="AF17" s="106"/>
      <c r="AG17" s="106"/>
      <c r="AH17" s="106"/>
      <c r="AI17" s="106"/>
      <c r="AJ17" s="106"/>
      <c r="AK17" s="106"/>
      <c r="AL17" s="95"/>
      <c r="AM17" s="109"/>
      <c r="AN17" s="109"/>
      <c r="AO17" s="109"/>
      <c r="AP17" s="109"/>
      <c r="AQ17" s="109"/>
      <c r="AR17" s="109"/>
      <c r="AS17" s="109"/>
      <c r="AT17" s="85"/>
      <c r="AU17" s="86"/>
      <c r="AV17" s="86"/>
      <c r="AW17" s="86"/>
      <c r="AX17" s="86"/>
      <c r="AY17" s="86"/>
      <c r="AZ17" s="89"/>
    </row>
    <row r="18" spans="1:52">
      <c r="A18" s="22" t="s">
        <v>8</v>
      </c>
      <c r="B18" s="41">
        <v>4</v>
      </c>
      <c r="C18" s="298" t="s">
        <v>48</v>
      </c>
      <c r="D18" s="299"/>
      <c r="E18" s="299"/>
      <c r="F18" s="300"/>
      <c r="J18" s="180"/>
      <c r="K18" s="91"/>
      <c r="L18" s="181"/>
      <c r="M18" s="181"/>
      <c r="N18" s="181"/>
      <c r="O18" s="181"/>
      <c r="P18" s="181"/>
      <c r="Q18" s="103"/>
      <c r="R18" s="74"/>
      <c r="S18" s="74"/>
      <c r="T18" s="74"/>
      <c r="U18" s="74"/>
      <c r="V18" s="74"/>
      <c r="W18" s="74"/>
      <c r="X18" s="85"/>
      <c r="Y18" s="86"/>
      <c r="Z18" s="86"/>
      <c r="AA18" s="86"/>
      <c r="AB18" s="86"/>
      <c r="AC18" s="86"/>
      <c r="AD18" s="89"/>
      <c r="AE18" s="106"/>
      <c r="AF18" s="106"/>
      <c r="AG18" s="106"/>
      <c r="AH18" s="106"/>
      <c r="AI18" s="106"/>
      <c r="AJ18" s="106"/>
      <c r="AK18" s="106"/>
      <c r="AL18" s="95"/>
      <c r="AM18" s="109"/>
      <c r="AN18" s="109"/>
      <c r="AO18" s="109"/>
      <c r="AP18" s="109"/>
      <c r="AQ18" s="109"/>
      <c r="AR18" s="109"/>
      <c r="AS18" s="109"/>
      <c r="AT18" s="85"/>
      <c r="AU18" s="86"/>
      <c r="AV18" s="86"/>
      <c r="AW18" s="86"/>
      <c r="AX18" s="86"/>
      <c r="AY18" s="86"/>
      <c r="AZ18" s="89"/>
    </row>
    <row r="19" spans="1:52">
      <c r="A19" s="23">
        <v>0</v>
      </c>
      <c r="B19" s="24"/>
      <c r="C19" s="23"/>
      <c r="D19" s="32" t="s">
        <v>57</v>
      </c>
      <c r="E19" s="32" t="s">
        <v>58</v>
      </c>
      <c r="F19" s="76" t="s">
        <v>48</v>
      </c>
      <c r="J19" s="180"/>
      <c r="K19" s="91"/>
      <c r="L19" s="181"/>
      <c r="M19" s="181"/>
      <c r="N19" s="181"/>
      <c r="O19" s="181"/>
      <c r="P19" s="181"/>
      <c r="Q19" s="103"/>
      <c r="R19" s="74"/>
      <c r="S19" s="74"/>
      <c r="T19" s="74"/>
      <c r="U19" s="74"/>
      <c r="V19" s="74"/>
      <c r="W19" s="74"/>
      <c r="X19" s="85"/>
      <c r="Y19" s="86"/>
      <c r="Z19" s="86"/>
      <c r="AA19" s="86"/>
      <c r="AB19" s="86"/>
      <c r="AC19" s="86"/>
      <c r="AD19" s="89"/>
      <c r="AE19" s="106"/>
      <c r="AF19" s="106"/>
      <c r="AG19" s="106"/>
      <c r="AH19" s="106"/>
      <c r="AI19" s="106"/>
      <c r="AJ19" s="106"/>
      <c r="AK19" s="106"/>
      <c r="AL19" s="95"/>
      <c r="AM19" s="109"/>
      <c r="AN19" s="109"/>
      <c r="AO19" s="109"/>
      <c r="AP19" s="109"/>
      <c r="AQ19" s="109"/>
      <c r="AR19" s="109"/>
      <c r="AS19" s="109"/>
      <c r="AT19" s="85"/>
      <c r="AU19" s="86"/>
      <c r="AV19" s="86"/>
      <c r="AW19" s="86"/>
      <c r="AX19" s="86"/>
      <c r="AY19" s="86"/>
      <c r="AZ19" s="89"/>
    </row>
    <row r="20" spans="1:52">
      <c r="A20" s="23">
        <v>1</v>
      </c>
      <c r="B20" s="24"/>
      <c r="C20" s="23" t="str">
        <f>"Basiszins "&amp;'Berechnung Ratierlich heute'!M1*100&amp;" %"</f>
        <v>Basiszins 0 %</v>
      </c>
      <c r="D20" s="124">
        <f>'Berechnung Ratierlich heute'!Q6</f>
        <v>0</v>
      </c>
      <c r="E20" s="124">
        <f>'Berechnung EB heute'!Q6</f>
        <v>158048.73404191731</v>
      </c>
      <c r="F20" s="125">
        <f>IF($B$3=3,E20,D20)</f>
        <v>158048.73404191731</v>
      </c>
      <c r="J20" s="180"/>
      <c r="K20" s="91"/>
      <c r="L20" s="181"/>
      <c r="M20" s="181"/>
      <c r="N20" s="181"/>
      <c r="O20" s="181"/>
      <c r="P20" s="181"/>
      <c r="Q20" s="103"/>
      <c r="R20" s="74"/>
      <c r="S20" s="74"/>
      <c r="T20" s="74"/>
      <c r="U20" s="74"/>
      <c r="V20" s="74"/>
      <c r="W20" s="74"/>
      <c r="X20" s="85"/>
      <c r="Y20" s="86"/>
      <c r="Z20" s="86"/>
      <c r="AA20" s="86"/>
      <c r="AB20" s="86"/>
      <c r="AC20" s="86"/>
      <c r="AD20" s="89"/>
      <c r="AE20" s="106"/>
      <c r="AF20" s="106"/>
      <c r="AG20" s="106"/>
      <c r="AH20" s="106"/>
      <c r="AI20" s="106"/>
      <c r="AJ20" s="106"/>
      <c r="AK20" s="106"/>
      <c r="AL20" s="95"/>
      <c r="AM20" s="109"/>
      <c r="AN20" s="109"/>
      <c r="AO20" s="109"/>
      <c r="AP20" s="109"/>
      <c r="AQ20" s="109"/>
      <c r="AR20" s="109"/>
      <c r="AS20" s="109"/>
      <c r="AT20" s="85"/>
      <c r="AU20" s="86"/>
      <c r="AV20" s="86"/>
      <c r="AW20" s="86"/>
      <c r="AX20" s="86"/>
      <c r="AY20" s="86"/>
      <c r="AZ20" s="89"/>
    </row>
    <row r="21" spans="1:52" ht="15.75" thickBot="1">
      <c r="A21" s="23">
        <v>2</v>
      </c>
      <c r="B21" s="24"/>
      <c r="C21" s="23" t="str">
        <f>"Basiszins "&amp;'Berechnung Ratierlich 2%'!M1*100&amp;" %"</f>
        <v>Basiszins 2 %</v>
      </c>
      <c r="D21" s="124">
        <f>'Berechnung Ratierlich 2%'!Q6</f>
        <v>0</v>
      </c>
      <c r="E21" s="124">
        <f>'Berechnung EB 2%'!Q6</f>
        <v>149607.8331983973</v>
      </c>
      <c r="F21" s="125">
        <f t="shared" ref="F21:F22" si="0">IF($B$3=3,E21,D21)</f>
        <v>149607.8331983973</v>
      </c>
      <c r="J21" s="182"/>
      <c r="K21" s="92"/>
      <c r="L21" s="181"/>
      <c r="M21" s="181"/>
      <c r="N21" s="181"/>
      <c r="O21" s="181"/>
      <c r="P21" s="181"/>
      <c r="Q21" s="103"/>
      <c r="R21" s="74"/>
      <c r="S21" s="74"/>
      <c r="T21" s="74"/>
      <c r="U21" s="74"/>
      <c r="V21" s="74"/>
      <c r="W21" s="74"/>
      <c r="X21" s="85"/>
      <c r="Y21" s="86"/>
      <c r="Z21" s="86"/>
      <c r="AA21" s="86"/>
      <c r="AB21" s="86"/>
      <c r="AC21" s="86"/>
      <c r="AD21" s="89"/>
      <c r="AE21" s="106"/>
      <c r="AF21" s="106"/>
      <c r="AG21" s="106"/>
      <c r="AH21" s="106"/>
      <c r="AI21" s="106"/>
      <c r="AJ21" s="106"/>
      <c r="AK21" s="106"/>
      <c r="AL21" s="95"/>
      <c r="AM21" s="109"/>
      <c r="AN21" s="109"/>
      <c r="AO21" s="109"/>
      <c r="AP21" s="109"/>
      <c r="AQ21" s="109"/>
      <c r="AR21" s="109"/>
      <c r="AS21" s="109"/>
      <c r="AT21" s="85"/>
      <c r="AU21" s="86"/>
      <c r="AV21" s="86"/>
      <c r="AW21" s="86"/>
      <c r="AX21" s="86"/>
      <c r="AY21" s="86"/>
      <c r="AZ21" s="89"/>
    </row>
    <row r="22" spans="1:52" ht="15.75" thickBot="1">
      <c r="A22" s="23">
        <v>3</v>
      </c>
      <c r="B22" s="24"/>
      <c r="C22" s="25" t="str">
        <f>"Basiszins "&amp;'Berechnung Ratierlich 4%'!M1*100&amp;" %"</f>
        <v>Basiszins 4 %</v>
      </c>
      <c r="D22" s="126">
        <f>'Berechnung Ratierlich 4%'!Q6</f>
        <v>0</v>
      </c>
      <c r="E22" s="126">
        <f>'Berechnung EB 4%'!Q6</f>
        <v>141544.38732876984</v>
      </c>
      <c r="F22" s="127">
        <f t="shared" si="0"/>
        <v>141544.38732876984</v>
      </c>
      <c r="J22" s="83"/>
      <c r="K22" s="102"/>
      <c r="L22" s="97"/>
      <c r="M22" s="97"/>
      <c r="N22" s="97"/>
      <c r="O22" s="97"/>
      <c r="P22" s="97"/>
      <c r="Q22" s="103"/>
      <c r="R22" s="74"/>
      <c r="S22" s="74"/>
      <c r="T22" s="74"/>
      <c r="U22" s="74"/>
      <c r="V22" s="74"/>
      <c r="W22" s="74"/>
      <c r="X22" s="85"/>
      <c r="Y22" s="86"/>
      <c r="Z22" s="86"/>
      <c r="AA22" s="86"/>
      <c r="AB22" s="86"/>
      <c r="AC22" s="86"/>
      <c r="AD22" s="89"/>
      <c r="AE22" s="106"/>
      <c r="AF22" s="106"/>
      <c r="AG22" s="106"/>
      <c r="AH22" s="106"/>
      <c r="AI22" s="106"/>
      <c r="AJ22" s="106"/>
      <c r="AK22" s="106"/>
      <c r="AL22" s="95"/>
      <c r="AM22" s="109"/>
      <c r="AN22" s="109"/>
      <c r="AO22" s="109"/>
      <c r="AP22" s="109"/>
      <c r="AQ22" s="109"/>
      <c r="AR22" s="109"/>
      <c r="AS22" s="109"/>
      <c r="AT22" s="85"/>
      <c r="AU22" s="86"/>
      <c r="AV22" s="86"/>
      <c r="AW22" s="86"/>
      <c r="AX22" s="86"/>
      <c r="AY22" s="86"/>
      <c r="AZ22" s="89"/>
    </row>
    <row r="23" spans="1:52" ht="15.75" thickBot="1">
      <c r="A23" s="23">
        <v>4</v>
      </c>
      <c r="B23" s="15"/>
      <c r="J23" s="83"/>
      <c r="K23" s="102"/>
      <c r="L23" s="97"/>
      <c r="M23" s="97"/>
      <c r="N23" s="97"/>
      <c r="O23" s="97"/>
      <c r="P23" s="97"/>
      <c r="Q23" s="103"/>
      <c r="R23" s="74"/>
      <c r="S23" s="74"/>
      <c r="T23" s="74"/>
      <c r="U23" s="74"/>
      <c r="V23" s="74"/>
      <c r="W23" s="74"/>
      <c r="X23" s="85"/>
      <c r="Y23" s="86"/>
      <c r="Z23" s="86"/>
      <c r="AA23" s="86"/>
      <c r="AB23" s="86"/>
      <c r="AC23" s="86"/>
      <c r="AD23" s="89"/>
      <c r="AE23" s="106"/>
      <c r="AF23" s="106"/>
      <c r="AG23" s="106"/>
      <c r="AH23" s="106"/>
      <c r="AI23" s="106"/>
      <c r="AJ23" s="106"/>
      <c r="AK23" s="106"/>
      <c r="AL23" s="95"/>
      <c r="AM23" s="109"/>
      <c r="AN23" s="109"/>
      <c r="AO23" s="109"/>
      <c r="AP23" s="109"/>
      <c r="AQ23" s="109"/>
      <c r="AR23" s="109"/>
      <c r="AS23" s="109"/>
      <c r="AT23" s="85"/>
      <c r="AU23" s="86"/>
      <c r="AV23" s="86"/>
      <c r="AW23" s="86"/>
      <c r="AX23" s="86"/>
      <c r="AY23" s="86"/>
      <c r="AZ23" s="89"/>
    </row>
    <row r="24" spans="1:52" ht="16.5" thickBot="1">
      <c r="A24" s="23">
        <v>5</v>
      </c>
      <c r="B24" s="15"/>
      <c r="C24" s="282" t="s">
        <v>71</v>
      </c>
      <c r="D24" s="283"/>
      <c r="E24" s="283"/>
      <c r="F24" s="284"/>
      <c r="J24" s="83"/>
      <c r="K24" s="102"/>
      <c r="L24" s="97"/>
      <c r="M24" s="97"/>
      <c r="N24" s="97"/>
      <c r="O24" s="97"/>
      <c r="P24" s="97"/>
      <c r="Q24" s="103"/>
      <c r="R24" s="74"/>
      <c r="S24" s="74"/>
      <c r="T24" s="74"/>
      <c r="U24" s="74"/>
      <c r="V24" s="74"/>
      <c r="W24" s="74"/>
      <c r="X24" s="85"/>
      <c r="Y24" s="86"/>
      <c r="Z24" s="86"/>
      <c r="AA24" s="86"/>
      <c r="AB24" s="86"/>
      <c r="AC24" s="86"/>
      <c r="AD24" s="89"/>
      <c r="AE24" s="106"/>
      <c r="AF24" s="106"/>
      <c r="AG24" s="106"/>
      <c r="AH24" s="106"/>
      <c r="AI24" s="106"/>
      <c r="AJ24" s="106"/>
      <c r="AK24" s="106"/>
      <c r="AL24" s="95"/>
      <c r="AM24" s="109"/>
      <c r="AN24" s="109"/>
      <c r="AO24" s="109"/>
      <c r="AP24" s="109"/>
      <c r="AQ24" s="109"/>
      <c r="AR24" s="109"/>
      <c r="AS24" s="109"/>
      <c r="AT24" s="85"/>
      <c r="AU24" s="86"/>
      <c r="AV24" s="86"/>
      <c r="AW24" s="86"/>
      <c r="AX24" s="86"/>
      <c r="AY24" s="86"/>
      <c r="AZ24" s="89"/>
    </row>
    <row r="25" spans="1:52">
      <c r="A25" s="23">
        <v>6</v>
      </c>
      <c r="B25" s="96"/>
      <c r="C25" s="288" t="s">
        <v>146</v>
      </c>
      <c r="D25" s="295"/>
      <c r="E25" s="293" t="e">
        <f>IF(Eingabe!C31&gt;0,Eingabe!C31,FV(C31/B4,Eingabe!C9*B4,-Eingabe!C10))</f>
        <v>#DIV/0!</v>
      </c>
      <c r="F25" s="294"/>
      <c r="J25" s="83"/>
      <c r="K25" s="102"/>
      <c r="L25" s="97"/>
      <c r="M25" s="97"/>
      <c r="N25" s="97"/>
      <c r="O25" s="97"/>
      <c r="P25" s="97"/>
      <c r="Q25" s="103"/>
      <c r="R25" s="74"/>
      <c r="S25" s="74"/>
      <c r="T25" s="74"/>
      <c r="U25" s="74"/>
      <c r="V25" s="74"/>
      <c r="W25" s="74"/>
      <c r="X25" s="85"/>
      <c r="Y25" s="86"/>
      <c r="Z25" s="86"/>
      <c r="AA25" s="86"/>
      <c r="AB25" s="86"/>
      <c r="AC25" s="86"/>
      <c r="AD25" s="89"/>
      <c r="AE25" s="106"/>
      <c r="AF25" s="106"/>
      <c r="AG25" s="106"/>
      <c r="AH25" s="106"/>
      <c r="AI25" s="106"/>
      <c r="AJ25" s="106"/>
      <c r="AK25" s="106"/>
      <c r="AL25" s="95"/>
      <c r="AM25" s="109"/>
      <c r="AN25" s="109"/>
      <c r="AO25" s="109"/>
      <c r="AP25" s="109"/>
      <c r="AQ25" s="109"/>
      <c r="AR25" s="109"/>
      <c r="AS25" s="109"/>
      <c r="AT25" s="85"/>
      <c r="AU25" s="86"/>
      <c r="AV25" s="86"/>
      <c r="AW25" s="86"/>
      <c r="AX25" s="86"/>
      <c r="AY25" s="86"/>
      <c r="AZ25" s="89"/>
    </row>
    <row r="26" spans="1:52">
      <c r="A26" s="23">
        <v>7</v>
      </c>
      <c r="B26" s="24"/>
      <c r="C26" s="285"/>
      <c r="D26" s="280"/>
      <c r="E26" s="286"/>
      <c r="F26" s="287"/>
      <c r="G26" s="130"/>
      <c r="J26" s="83"/>
      <c r="K26" s="102"/>
      <c r="L26" s="97"/>
      <c r="M26" s="97"/>
      <c r="N26" s="97"/>
      <c r="O26" s="97"/>
      <c r="P26" s="97"/>
      <c r="Q26" s="103"/>
      <c r="R26" s="74"/>
      <c r="S26" s="74"/>
      <c r="T26" s="74"/>
      <c r="U26" s="74"/>
      <c r="V26" s="74"/>
      <c r="W26" s="74"/>
      <c r="X26" s="85"/>
      <c r="Y26" s="86"/>
      <c r="Z26" s="86"/>
      <c r="AA26" s="86"/>
      <c r="AB26" s="86"/>
      <c r="AC26" s="86"/>
      <c r="AD26" s="89"/>
      <c r="AE26" s="106"/>
      <c r="AF26" s="106"/>
      <c r="AG26" s="106"/>
      <c r="AH26" s="106"/>
      <c r="AI26" s="106"/>
      <c r="AJ26" s="106"/>
      <c r="AK26" s="106"/>
      <c r="AL26" s="95"/>
      <c r="AM26" s="109"/>
      <c r="AN26" s="109"/>
      <c r="AO26" s="109"/>
      <c r="AP26" s="109"/>
      <c r="AQ26" s="109"/>
      <c r="AR26" s="109"/>
      <c r="AS26" s="109"/>
      <c r="AT26" s="85"/>
      <c r="AU26" s="86"/>
      <c r="AV26" s="86"/>
      <c r="AW26" s="86"/>
      <c r="AX26" s="86"/>
      <c r="AY26" s="86"/>
      <c r="AZ26" s="89"/>
    </row>
    <row r="27" spans="1:52">
      <c r="A27" s="23">
        <v>8</v>
      </c>
      <c r="B27" s="24"/>
      <c r="C27" s="285" t="s">
        <v>145</v>
      </c>
      <c r="D27" s="280"/>
      <c r="E27" s="286">
        <f>IF(Eingabe!C31&gt;0,Eingabe!C31,Eingabe!C10*(1+E31)^Eingabe!C9)</f>
        <v>186376.00000000006</v>
      </c>
      <c r="F27" s="287"/>
      <c r="H27" s="74"/>
      <c r="J27" s="83"/>
      <c r="K27" s="102"/>
      <c r="L27" s="97"/>
      <c r="M27" s="97"/>
      <c r="N27" s="97"/>
      <c r="O27" s="97"/>
      <c r="P27" s="97"/>
      <c r="Q27" s="103"/>
      <c r="R27" s="74"/>
      <c r="S27" s="74"/>
      <c r="T27" s="74"/>
      <c r="U27" s="74"/>
      <c r="V27" s="74"/>
      <c r="W27" s="74"/>
      <c r="X27" s="85"/>
      <c r="Y27" s="86"/>
      <c r="Z27" s="86"/>
      <c r="AA27" s="86"/>
      <c r="AB27" s="86"/>
      <c r="AC27" s="86"/>
      <c r="AD27" s="89"/>
      <c r="AE27" s="106"/>
      <c r="AF27" s="106"/>
      <c r="AG27" s="106"/>
      <c r="AH27" s="106"/>
      <c r="AI27" s="106"/>
      <c r="AJ27" s="106"/>
      <c r="AK27" s="106"/>
      <c r="AL27" s="95"/>
      <c r="AM27" s="109"/>
      <c r="AN27" s="109"/>
      <c r="AO27" s="109"/>
      <c r="AP27" s="109"/>
      <c r="AQ27" s="109"/>
      <c r="AR27" s="109"/>
      <c r="AS27" s="109"/>
      <c r="AT27" s="85"/>
      <c r="AU27" s="86"/>
      <c r="AV27" s="86"/>
      <c r="AW27" s="86"/>
      <c r="AX27" s="86"/>
      <c r="AY27" s="86"/>
      <c r="AZ27" s="89"/>
    </row>
    <row r="28" spans="1:52">
      <c r="A28" s="23">
        <v>9</v>
      </c>
      <c r="B28" s="24"/>
      <c r="C28" s="285" t="s">
        <v>59</v>
      </c>
      <c r="D28" s="280"/>
      <c r="E28" s="296">
        <f>IF(B3=3,E27,IF(F11=1,E26,E25))</f>
        <v>186376.00000000006</v>
      </c>
      <c r="F28" s="297"/>
      <c r="J28" s="83"/>
      <c r="K28" s="102"/>
      <c r="L28" s="97"/>
      <c r="M28" s="97"/>
      <c r="N28" s="97"/>
      <c r="O28" s="97"/>
      <c r="P28" s="97"/>
      <c r="Q28" s="103"/>
      <c r="R28" s="74"/>
      <c r="S28" s="74"/>
      <c r="T28" s="74"/>
      <c r="U28" s="74"/>
      <c r="V28" s="74"/>
      <c r="W28" s="74"/>
      <c r="X28" s="85"/>
      <c r="Y28" s="86"/>
      <c r="Z28" s="86"/>
      <c r="AA28" s="86"/>
      <c r="AB28" s="86"/>
      <c r="AC28" s="86"/>
      <c r="AD28" s="89"/>
      <c r="AE28" s="106"/>
      <c r="AF28" s="106"/>
      <c r="AG28" s="106"/>
      <c r="AH28" s="106"/>
      <c r="AI28" s="106"/>
      <c r="AJ28" s="106"/>
      <c r="AK28" s="106"/>
      <c r="AL28" s="95"/>
      <c r="AM28" s="109"/>
      <c r="AN28" s="109"/>
      <c r="AO28" s="109"/>
      <c r="AP28" s="109"/>
      <c r="AQ28" s="109"/>
      <c r="AR28" s="109"/>
      <c r="AS28" s="109"/>
      <c r="AT28" s="85"/>
      <c r="AU28" s="86"/>
      <c r="AV28" s="86"/>
      <c r="AW28" s="86"/>
      <c r="AX28" s="86"/>
      <c r="AY28" s="86"/>
      <c r="AZ28" s="89"/>
    </row>
    <row r="29" spans="1:52" ht="15.75" thickBot="1">
      <c r="A29" s="23">
        <v>10</v>
      </c>
      <c r="B29" s="24"/>
      <c r="C29" s="285" t="s">
        <v>13</v>
      </c>
      <c r="D29" s="280"/>
      <c r="E29" s="286">
        <f>IF(B3=3,Eingabe!C10,Hilfe!B4*Eingabe!C10*Eingabe!C9)</f>
        <v>100000</v>
      </c>
      <c r="F29" s="287"/>
      <c r="J29" s="83"/>
      <c r="K29" s="102"/>
      <c r="L29" s="97"/>
      <c r="M29" s="97"/>
      <c r="N29" s="97"/>
      <c r="O29" s="97"/>
      <c r="P29" s="97"/>
      <c r="Q29" s="103"/>
      <c r="R29" s="74"/>
      <c r="S29" s="74"/>
      <c r="T29" s="74"/>
      <c r="U29" s="74"/>
      <c r="V29" s="74"/>
      <c r="W29" s="74"/>
      <c r="X29" s="85"/>
      <c r="Y29" s="86"/>
      <c r="Z29" s="86"/>
      <c r="AA29" s="86"/>
      <c r="AB29" s="86"/>
      <c r="AC29" s="86"/>
      <c r="AD29" s="89"/>
      <c r="AE29" s="106"/>
      <c r="AF29" s="106"/>
      <c r="AG29" s="106"/>
      <c r="AH29" s="106"/>
      <c r="AI29" s="106"/>
      <c r="AJ29" s="106"/>
      <c r="AK29" s="106"/>
      <c r="AL29" s="95"/>
      <c r="AM29" s="109"/>
      <c r="AN29" s="109"/>
      <c r="AO29" s="109"/>
      <c r="AP29" s="109"/>
      <c r="AQ29" s="109"/>
      <c r="AR29" s="109"/>
      <c r="AS29" s="109"/>
      <c r="AT29" s="85"/>
      <c r="AU29" s="86"/>
      <c r="AV29" s="86"/>
      <c r="AW29" s="86"/>
      <c r="AX29" s="86"/>
      <c r="AY29" s="86"/>
      <c r="AZ29" s="89"/>
    </row>
    <row r="30" spans="1:52" ht="16.5" thickBot="1">
      <c r="A30" s="23">
        <v>11</v>
      </c>
      <c r="B30" s="96"/>
      <c r="C30" s="308" t="s">
        <v>72</v>
      </c>
      <c r="D30" s="309"/>
      <c r="E30" s="309"/>
      <c r="F30" s="309"/>
      <c r="G30" s="309"/>
      <c r="H30" s="310"/>
      <c r="J30" s="83"/>
      <c r="K30" s="102"/>
      <c r="L30" s="97"/>
      <c r="M30" s="97"/>
      <c r="N30" s="97"/>
      <c r="O30" s="97"/>
      <c r="P30" s="97"/>
      <c r="Q30" s="103"/>
      <c r="R30" s="74"/>
      <c r="S30" s="74"/>
      <c r="T30" s="74"/>
      <c r="U30" s="74"/>
      <c r="V30" s="74"/>
      <c r="W30" s="74"/>
      <c r="X30" s="85"/>
      <c r="Y30" s="86"/>
      <c r="Z30" s="86"/>
      <c r="AA30" s="86"/>
      <c r="AB30" s="86"/>
      <c r="AC30" s="86"/>
      <c r="AD30" s="89"/>
      <c r="AE30" s="106"/>
      <c r="AF30" s="106"/>
      <c r="AG30" s="106"/>
      <c r="AH30" s="106"/>
      <c r="AI30" s="106"/>
      <c r="AJ30" s="106"/>
      <c r="AK30" s="106"/>
      <c r="AL30" s="95"/>
      <c r="AM30" s="109"/>
      <c r="AN30" s="109"/>
      <c r="AO30" s="109"/>
      <c r="AP30" s="109"/>
      <c r="AQ30" s="109"/>
      <c r="AR30" s="109"/>
      <c r="AS30" s="109"/>
      <c r="AT30" s="85"/>
      <c r="AU30" s="86"/>
      <c r="AV30" s="86"/>
      <c r="AW30" s="86"/>
      <c r="AX30" s="86"/>
      <c r="AY30" s="86"/>
      <c r="AZ30" s="89"/>
    </row>
    <row r="31" spans="1:52" ht="15.75" thickBot="1">
      <c r="A31" s="23">
        <v>12</v>
      </c>
      <c r="B31" s="96"/>
      <c r="C31" s="289">
        <f>VLOOKUP(F3,C33:D39,2)</f>
        <v>3.1436450249406764E-2</v>
      </c>
      <c r="D31" s="290"/>
      <c r="E31" s="291">
        <f>VLOOKUP(F3,E33:F39,2)</f>
        <v>5.3252500601474351E-2</v>
      </c>
      <c r="F31" s="292"/>
      <c r="G31" s="289"/>
      <c r="H31" s="290"/>
      <c r="J31" s="83"/>
      <c r="K31" s="102"/>
      <c r="L31" s="97"/>
      <c r="M31" s="97"/>
      <c r="N31" s="97"/>
      <c r="O31" s="97"/>
      <c r="P31" s="97"/>
      <c r="Q31" s="103"/>
      <c r="R31" s="74"/>
      <c r="S31" s="74"/>
      <c r="T31" s="74"/>
      <c r="U31" s="74"/>
      <c r="V31" s="74"/>
      <c r="W31" s="74"/>
      <c r="X31" s="85"/>
      <c r="Y31" s="86"/>
      <c r="Z31" s="86"/>
      <c r="AA31" s="86"/>
      <c r="AB31" s="86"/>
      <c r="AC31" s="86"/>
      <c r="AD31" s="89"/>
      <c r="AE31" s="106"/>
      <c r="AF31" s="106"/>
      <c r="AG31" s="106"/>
      <c r="AH31" s="106"/>
      <c r="AI31" s="106"/>
      <c r="AJ31" s="106"/>
      <c r="AK31" s="106"/>
      <c r="AL31" s="95"/>
      <c r="AM31" s="109"/>
      <c r="AN31" s="109"/>
      <c r="AO31" s="109"/>
      <c r="AP31" s="109"/>
      <c r="AQ31" s="109"/>
      <c r="AR31" s="109"/>
      <c r="AS31" s="109"/>
      <c r="AT31" s="85"/>
      <c r="AU31" s="86"/>
      <c r="AV31" s="86"/>
      <c r="AW31" s="86"/>
      <c r="AX31" s="86"/>
      <c r="AY31" s="86"/>
      <c r="AZ31" s="89"/>
    </row>
    <row r="32" spans="1:52" ht="15.75" thickBot="1">
      <c r="A32" s="23">
        <v>13</v>
      </c>
      <c r="B32" s="24"/>
      <c r="C32" s="288" t="s">
        <v>60</v>
      </c>
      <c r="D32" s="277"/>
      <c r="E32" s="276" t="s">
        <v>61</v>
      </c>
      <c r="F32" s="278"/>
      <c r="G32" s="276"/>
      <c r="H32" s="278"/>
      <c r="J32" s="83"/>
      <c r="K32" s="102"/>
      <c r="L32" s="97"/>
      <c r="M32" s="97"/>
      <c r="N32" s="97"/>
      <c r="O32" s="97"/>
      <c r="P32" s="97"/>
      <c r="Q32" s="103"/>
      <c r="R32" s="74"/>
      <c r="S32" s="74"/>
      <c r="T32" s="74"/>
      <c r="U32" s="74"/>
      <c r="V32" s="74"/>
      <c r="W32" s="74"/>
      <c r="X32" s="85"/>
      <c r="Y32" s="86"/>
      <c r="Z32" s="86"/>
      <c r="AA32" s="86"/>
      <c r="AB32" s="86"/>
      <c r="AC32" s="86"/>
      <c r="AD32" s="89"/>
      <c r="AE32" s="106"/>
      <c r="AF32" s="106"/>
      <c r="AG32" s="106"/>
      <c r="AH32" s="106"/>
      <c r="AI32" s="106"/>
      <c r="AJ32" s="106"/>
      <c r="AK32" s="106"/>
      <c r="AL32" s="95"/>
      <c r="AM32" s="109"/>
      <c r="AN32" s="109"/>
      <c r="AO32" s="109"/>
      <c r="AP32" s="109"/>
      <c r="AQ32" s="109"/>
      <c r="AR32" s="109"/>
      <c r="AS32" s="109"/>
      <c r="AT32" s="85"/>
      <c r="AU32" s="86"/>
      <c r="AV32" s="86"/>
      <c r="AW32" s="86"/>
      <c r="AX32" s="86"/>
      <c r="AY32" s="86"/>
      <c r="AZ32" s="89"/>
    </row>
    <row r="33" spans="1:52">
      <c r="A33" s="23">
        <v>14</v>
      </c>
      <c r="B33" s="24"/>
      <c r="C33" s="165" t="str">
        <f>G1</f>
        <v>Einzel</v>
      </c>
      <c r="D33" s="90">
        <f>'FSX (Einzel)'!I53</f>
        <v>3.1436450249406764E-2</v>
      </c>
      <c r="E33" s="165" t="s">
        <v>138</v>
      </c>
      <c r="F33" s="91">
        <f>'FSX (EB, Einzel)'!I53</f>
        <v>5.3252500601474351E-2</v>
      </c>
      <c r="G33" s="110"/>
      <c r="H33" s="112"/>
      <c r="J33" s="83"/>
      <c r="K33" s="102"/>
      <c r="L33" s="97"/>
      <c r="M33" s="97"/>
      <c r="N33" s="97"/>
      <c r="O33" s="97"/>
      <c r="P33" s="97"/>
      <c r="Q33" s="103"/>
      <c r="R33" s="74"/>
      <c r="S33" s="74"/>
      <c r="T33" s="74"/>
      <c r="U33" s="74"/>
      <c r="V33" s="74"/>
      <c r="W33" s="74"/>
      <c r="X33" s="85"/>
      <c r="Y33" s="86"/>
      <c r="Z33" s="86"/>
      <c r="AA33" s="86"/>
      <c r="AB33" s="86"/>
      <c r="AC33" s="86"/>
      <c r="AD33" s="89"/>
      <c r="AE33" s="106"/>
      <c r="AF33" s="106"/>
      <c r="AG33" s="106"/>
      <c r="AH33" s="106"/>
      <c r="AI33" s="106"/>
      <c r="AJ33" s="106"/>
      <c r="AK33" s="106"/>
      <c r="AL33" s="95"/>
      <c r="AM33" s="109"/>
      <c r="AN33" s="109"/>
      <c r="AO33" s="109"/>
      <c r="AP33" s="109"/>
      <c r="AQ33" s="109"/>
      <c r="AR33" s="109"/>
      <c r="AS33" s="109"/>
      <c r="AT33" s="85"/>
      <c r="AU33" s="86"/>
      <c r="AV33" s="86"/>
      <c r="AW33" s="86"/>
      <c r="AX33" s="86"/>
      <c r="AY33" s="86"/>
      <c r="AZ33" s="89"/>
    </row>
    <row r="34" spans="1:52">
      <c r="A34" s="23">
        <v>15</v>
      </c>
      <c r="B34" s="24"/>
      <c r="C34" s="166" t="str">
        <f t="shared" ref="C34:C39" si="1">G2</f>
        <v>G</v>
      </c>
      <c r="D34" s="90">
        <f>'FSX (G)'!I53</f>
        <v>3.9113064282513266E-2</v>
      </c>
      <c r="E34" s="166" t="s">
        <v>139</v>
      </c>
      <c r="F34" s="91">
        <f>'FSX (EB, G)'!I53</f>
        <v>5.5204290585266103E-2</v>
      </c>
      <c r="G34" s="14"/>
      <c r="H34" s="113"/>
      <c r="J34" s="83"/>
      <c r="K34" s="102"/>
      <c r="L34" s="97"/>
      <c r="M34" s="97"/>
      <c r="N34" s="97"/>
      <c r="O34" s="97"/>
      <c r="P34" s="97"/>
      <c r="Q34" s="103"/>
      <c r="R34" s="74"/>
      <c r="S34" s="74"/>
      <c r="T34" s="74"/>
      <c r="U34" s="74"/>
      <c r="V34" s="74"/>
      <c r="W34" s="74"/>
      <c r="X34" s="85"/>
      <c r="Y34" s="86"/>
      <c r="Z34" s="86"/>
      <c r="AA34" s="86"/>
      <c r="AB34" s="86"/>
      <c r="AC34" s="86"/>
      <c r="AD34" s="89"/>
      <c r="AE34" s="106"/>
      <c r="AF34" s="106"/>
      <c r="AG34" s="106"/>
      <c r="AH34" s="106"/>
      <c r="AI34" s="106"/>
      <c r="AJ34" s="106"/>
      <c r="AK34" s="106"/>
      <c r="AL34" s="95"/>
      <c r="AM34" s="109"/>
      <c r="AN34" s="109"/>
      <c r="AO34" s="109"/>
      <c r="AP34" s="109"/>
      <c r="AQ34" s="109"/>
      <c r="AR34" s="109"/>
      <c r="AS34" s="109"/>
      <c r="AT34" s="85"/>
      <c r="AU34" s="86"/>
      <c r="AV34" s="86"/>
      <c r="AW34" s="86"/>
      <c r="AX34" s="86"/>
      <c r="AY34" s="86"/>
      <c r="AZ34" s="89"/>
    </row>
    <row r="35" spans="1:52">
      <c r="A35" s="23">
        <v>16</v>
      </c>
      <c r="B35" s="24"/>
      <c r="C35" s="166" t="str">
        <f t="shared" si="1"/>
        <v>N</v>
      </c>
      <c r="D35" s="90">
        <f>'FSX (N) '!I53</f>
        <v>3.9893889581144135E-2</v>
      </c>
      <c r="E35" s="166" t="s">
        <v>140</v>
      </c>
      <c r="F35" s="91">
        <f>'FSX (EB, N)'!I53</f>
        <v>5.2666752473197187E-2</v>
      </c>
      <c r="G35" s="14"/>
      <c r="H35" s="113"/>
      <c r="J35" s="83"/>
      <c r="K35" s="102"/>
      <c r="L35" s="97"/>
      <c r="M35" s="97"/>
      <c r="N35" s="97"/>
      <c r="O35" s="97"/>
      <c r="P35" s="97"/>
      <c r="Q35" s="103"/>
      <c r="R35" s="74"/>
      <c r="S35" s="74"/>
      <c r="T35" s="74"/>
      <c r="U35" s="74"/>
      <c r="V35" s="74"/>
      <c r="W35" s="74"/>
      <c r="X35" s="85"/>
      <c r="Y35" s="86"/>
      <c r="Z35" s="86"/>
      <c r="AA35" s="86"/>
      <c r="AB35" s="86"/>
      <c r="AC35" s="86"/>
      <c r="AD35" s="89"/>
      <c r="AE35" s="106"/>
      <c r="AF35" s="106"/>
      <c r="AG35" s="106"/>
      <c r="AH35" s="106"/>
      <c r="AI35" s="106"/>
      <c r="AJ35" s="106"/>
      <c r="AK35" s="106"/>
      <c r="AL35" s="95"/>
      <c r="AM35" s="109"/>
      <c r="AN35" s="109"/>
      <c r="AO35" s="109"/>
      <c r="AP35" s="109"/>
      <c r="AQ35" s="109"/>
      <c r="AR35" s="109"/>
      <c r="AS35" s="109"/>
      <c r="AT35" s="85"/>
      <c r="AU35" s="86"/>
      <c r="AV35" s="86"/>
      <c r="AW35" s="86"/>
      <c r="AX35" s="86"/>
      <c r="AY35" s="86"/>
      <c r="AZ35" s="89"/>
    </row>
    <row r="36" spans="1:52">
      <c r="A36" s="23">
        <v>17</v>
      </c>
      <c r="B36" s="24"/>
      <c r="C36" s="166" t="str">
        <f t="shared" si="1"/>
        <v>U</v>
      </c>
      <c r="D36" s="90">
        <f>'FSX (U)'!I53</f>
        <v>4.1957605475410317E-2</v>
      </c>
      <c r="E36" s="166" t="s">
        <v>141</v>
      </c>
      <c r="F36" s="91">
        <f>'FSX (EB, U)'!I53</f>
        <v>5.476306199878378E-2</v>
      </c>
      <c r="G36" s="14"/>
      <c r="H36" s="113"/>
      <c r="J36" s="83"/>
      <c r="K36" s="102"/>
      <c r="L36" s="97"/>
      <c r="M36" s="97"/>
      <c r="N36" s="97"/>
      <c r="O36" s="97"/>
      <c r="P36" s="97"/>
      <c r="Q36" s="103"/>
      <c r="R36" s="74"/>
      <c r="S36" s="74"/>
      <c r="T36" s="74"/>
      <c r="U36" s="74"/>
      <c r="V36" s="74"/>
      <c r="W36" s="74"/>
      <c r="X36" s="85"/>
      <c r="Y36" s="86"/>
      <c r="Z36" s="86"/>
      <c r="AA36" s="86"/>
      <c r="AB36" s="86"/>
      <c r="AC36" s="86"/>
      <c r="AD36" s="89"/>
      <c r="AE36" s="106"/>
      <c r="AF36" s="106"/>
      <c r="AG36" s="106"/>
      <c r="AH36" s="106"/>
      <c r="AI36" s="106"/>
      <c r="AJ36" s="106"/>
      <c r="AK36" s="106"/>
      <c r="AL36" s="95"/>
      <c r="AM36" s="109"/>
      <c r="AN36" s="109"/>
      <c r="AO36" s="109"/>
      <c r="AP36" s="109"/>
      <c r="AQ36" s="109"/>
      <c r="AR36" s="109"/>
      <c r="AS36" s="109"/>
      <c r="AT36" s="85"/>
      <c r="AU36" s="86"/>
      <c r="AV36" s="86"/>
      <c r="AW36" s="86"/>
      <c r="AX36" s="86"/>
      <c r="AY36" s="86"/>
      <c r="AZ36" s="89"/>
    </row>
    <row r="37" spans="1:52">
      <c r="A37" s="23">
        <v>18</v>
      </c>
      <c r="B37" s="24"/>
      <c r="C37" s="166" t="str">
        <f t="shared" si="1"/>
        <v>V</v>
      </c>
      <c r="D37" s="90">
        <f>'FSX (V) '!I53</f>
        <v>4.5013606521350752E-2</v>
      </c>
      <c r="E37" s="166" t="s">
        <v>142</v>
      </c>
      <c r="F37" s="91">
        <f>'FSX (EB, V)'!I53</f>
        <v>5.6919736111921582E-2</v>
      </c>
      <c r="G37" s="14"/>
      <c r="H37" s="113"/>
      <c r="J37" s="83"/>
      <c r="K37" s="102"/>
      <c r="L37" s="97"/>
      <c r="M37" s="97"/>
      <c r="N37" s="97"/>
      <c r="O37" s="97"/>
      <c r="P37" s="97"/>
      <c r="Q37" s="103"/>
      <c r="R37" s="74"/>
      <c r="S37" s="74"/>
      <c r="T37" s="74"/>
      <c r="U37" s="74"/>
      <c r="V37" s="74"/>
      <c r="W37" s="74"/>
      <c r="X37" s="85"/>
      <c r="Y37" s="86"/>
      <c r="Z37" s="86"/>
      <c r="AA37" s="86"/>
      <c r="AB37" s="86"/>
      <c r="AC37" s="86"/>
      <c r="AD37" s="89"/>
      <c r="AE37" s="106"/>
      <c r="AF37" s="106"/>
      <c r="AG37" s="106"/>
      <c r="AH37" s="106"/>
      <c r="AI37" s="106"/>
      <c r="AJ37" s="106"/>
      <c r="AK37" s="106"/>
      <c r="AL37" s="95"/>
      <c r="AM37" s="109"/>
      <c r="AN37" s="109"/>
      <c r="AO37" s="109"/>
      <c r="AP37" s="109"/>
      <c r="AQ37" s="109"/>
      <c r="AR37" s="109"/>
      <c r="AS37" s="109"/>
      <c r="AT37" s="85"/>
      <c r="AU37" s="86"/>
      <c r="AV37" s="86"/>
      <c r="AW37" s="86"/>
      <c r="AX37" s="86"/>
      <c r="AY37" s="86"/>
      <c r="AZ37" s="89"/>
    </row>
    <row r="38" spans="1:52">
      <c r="A38" s="23">
        <v>19</v>
      </c>
      <c r="B38" s="24"/>
      <c r="C38" s="166" t="str">
        <f t="shared" si="1"/>
        <v>W</v>
      </c>
      <c r="D38" s="90">
        <f>'FSX (W)'!I53</f>
        <v>4.7081020804159809E-2</v>
      </c>
      <c r="E38" s="166" t="s">
        <v>143</v>
      </c>
      <c r="F38" s="91">
        <f>'FSX (EB, W)'!I53</f>
        <v>5.9023740801549707E-2</v>
      </c>
      <c r="G38" s="14"/>
      <c r="H38" s="113"/>
      <c r="J38" s="83"/>
      <c r="K38" s="102"/>
      <c r="L38" s="97"/>
      <c r="M38" s="97"/>
      <c r="N38" s="97"/>
      <c r="O38" s="97"/>
      <c r="P38" s="97"/>
      <c r="Q38" s="103"/>
      <c r="R38" s="74"/>
      <c r="S38" s="74"/>
      <c r="T38" s="74"/>
      <c r="U38" s="74"/>
      <c r="V38" s="74"/>
      <c r="W38" s="74"/>
      <c r="X38" s="85"/>
      <c r="Y38" s="86"/>
      <c r="Z38" s="86"/>
      <c r="AA38" s="86"/>
      <c r="AB38" s="86"/>
      <c r="AC38" s="86"/>
      <c r="AD38" s="89"/>
      <c r="AE38" s="106"/>
      <c r="AF38" s="106"/>
      <c r="AG38" s="106"/>
      <c r="AH38" s="106"/>
      <c r="AI38" s="106"/>
      <c r="AJ38" s="106"/>
      <c r="AK38" s="106"/>
      <c r="AL38" s="95"/>
      <c r="AM38" s="109"/>
      <c r="AN38" s="109"/>
      <c r="AO38" s="109"/>
      <c r="AP38" s="109"/>
      <c r="AQ38" s="109"/>
      <c r="AR38" s="109"/>
      <c r="AS38" s="109"/>
      <c r="AT38" s="85"/>
      <c r="AU38" s="86"/>
      <c r="AV38" s="86"/>
      <c r="AW38" s="86"/>
      <c r="AX38" s="86"/>
      <c r="AY38" s="86"/>
      <c r="AZ38" s="89"/>
    </row>
    <row r="39" spans="1:52" ht="15.75" thickBot="1">
      <c r="A39" s="25">
        <v>20</v>
      </c>
      <c r="B39" s="26"/>
      <c r="C39" s="167" t="str">
        <f t="shared" si="1"/>
        <v>M</v>
      </c>
      <c r="D39" s="65">
        <f>'FSX (M)'!I53</f>
        <v>4.9121750881220436E-2</v>
      </c>
      <c r="E39" s="167" t="s">
        <v>144</v>
      </c>
      <c r="F39" s="92">
        <f>'FSX (EB, M)'!I53</f>
        <v>6.1142197080390481E-2</v>
      </c>
      <c r="G39" s="16"/>
      <c r="H39" s="114"/>
      <c r="J39" s="83"/>
      <c r="K39" s="102"/>
      <c r="L39" s="97"/>
      <c r="M39" s="97"/>
      <c r="N39" s="97"/>
      <c r="O39" s="97"/>
      <c r="P39" s="97"/>
      <c r="Q39" s="103"/>
      <c r="R39" s="74"/>
      <c r="S39" s="74"/>
      <c r="T39" s="74"/>
      <c r="U39" s="74"/>
      <c r="V39" s="74"/>
      <c r="W39" s="74"/>
      <c r="X39" s="85"/>
      <c r="Y39" s="86"/>
      <c r="Z39" s="86"/>
      <c r="AA39" s="86"/>
      <c r="AB39" s="86"/>
      <c r="AC39" s="86"/>
      <c r="AD39" s="89"/>
      <c r="AE39" s="106"/>
      <c r="AF39" s="106"/>
      <c r="AG39" s="106"/>
      <c r="AH39" s="106"/>
      <c r="AI39" s="106"/>
      <c r="AJ39" s="106"/>
      <c r="AK39" s="106"/>
      <c r="AL39" s="95"/>
      <c r="AM39" s="109"/>
      <c r="AN39" s="109"/>
      <c r="AO39" s="109"/>
      <c r="AP39" s="109"/>
      <c r="AQ39" s="109"/>
      <c r="AR39" s="109"/>
      <c r="AS39" s="109"/>
      <c r="AT39" s="85"/>
      <c r="AU39" s="86"/>
      <c r="AV39" s="86"/>
      <c r="AW39" s="86"/>
      <c r="AX39" s="86"/>
      <c r="AY39" s="86"/>
      <c r="AZ39" s="89"/>
    </row>
    <row r="40" spans="1:52">
      <c r="J40" s="83"/>
      <c r="K40" s="102"/>
      <c r="L40" s="97"/>
      <c r="M40" s="97"/>
      <c r="N40" s="97"/>
      <c r="O40" s="97"/>
      <c r="P40" s="97"/>
      <c r="Q40" s="103"/>
      <c r="R40" s="74"/>
      <c r="S40" s="74"/>
      <c r="T40" s="74"/>
      <c r="U40" s="74"/>
      <c r="V40" s="74"/>
      <c r="W40" s="74"/>
      <c r="X40" s="85"/>
      <c r="Y40" s="86"/>
      <c r="Z40" s="86"/>
      <c r="AA40" s="86"/>
      <c r="AB40" s="86"/>
      <c r="AC40" s="86"/>
      <c r="AD40" s="89"/>
      <c r="AE40" s="106"/>
      <c r="AF40" s="106"/>
      <c r="AG40" s="106"/>
      <c r="AH40" s="106"/>
      <c r="AI40" s="106"/>
      <c r="AJ40" s="106"/>
      <c r="AK40" s="106"/>
      <c r="AL40" s="95"/>
      <c r="AM40" s="109"/>
      <c r="AN40" s="109"/>
      <c r="AO40" s="109"/>
      <c r="AP40" s="109"/>
      <c r="AQ40" s="109"/>
      <c r="AR40" s="109"/>
      <c r="AS40" s="109"/>
      <c r="AT40" s="85"/>
      <c r="AU40" s="86"/>
      <c r="AV40" s="86"/>
      <c r="AW40" s="86"/>
      <c r="AX40" s="86"/>
      <c r="AY40" s="86"/>
      <c r="AZ40" s="89"/>
    </row>
    <row r="41" spans="1:52">
      <c r="J41" s="83"/>
      <c r="K41" s="102"/>
      <c r="L41" s="97"/>
      <c r="M41" s="97"/>
      <c r="N41" s="97"/>
      <c r="O41" s="97"/>
      <c r="P41" s="97"/>
      <c r="Q41" s="103"/>
      <c r="R41" s="74"/>
      <c r="S41" s="74"/>
      <c r="T41" s="74"/>
      <c r="U41" s="74"/>
      <c r="V41" s="74"/>
      <c r="W41" s="74"/>
      <c r="X41" s="85"/>
      <c r="Y41" s="86"/>
      <c r="Z41" s="86"/>
      <c r="AA41" s="86"/>
      <c r="AB41" s="86"/>
      <c r="AC41" s="86"/>
      <c r="AD41" s="89"/>
      <c r="AE41" s="106"/>
      <c r="AF41" s="106"/>
      <c r="AG41" s="106"/>
      <c r="AH41" s="106"/>
      <c r="AI41" s="106"/>
      <c r="AJ41" s="106"/>
      <c r="AK41" s="106"/>
      <c r="AL41" s="95"/>
      <c r="AM41" s="109"/>
      <c r="AN41" s="109"/>
      <c r="AO41" s="109"/>
      <c r="AP41" s="109"/>
      <c r="AQ41" s="109"/>
      <c r="AR41" s="109"/>
      <c r="AS41" s="109"/>
      <c r="AT41" s="85"/>
      <c r="AU41" s="86"/>
      <c r="AV41" s="86"/>
      <c r="AW41" s="86"/>
      <c r="AX41" s="86"/>
      <c r="AY41" s="86"/>
      <c r="AZ41" s="89"/>
    </row>
    <row r="42" spans="1:52" ht="19.5" thickBot="1">
      <c r="A42" s="313" t="s">
        <v>63</v>
      </c>
      <c r="B42" s="313"/>
      <c r="C42" s="313"/>
      <c r="D42" s="313"/>
      <c r="E42" s="313"/>
      <c r="F42" s="313"/>
      <c r="G42" s="313"/>
      <c r="H42" s="313"/>
      <c r="J42" s="83"/>
      <c r="K42" s="102"/>
      <c r="L42" s="97"/>
      <c r="M42" s="97"/>
      <c r="N42" s="97"/>
      <c r="O42" s="97"/>
      <c r="P42" s="97"/>
      <c r="Q42" s="103"/>
      <c r="R42" s="74"/>
      <c r="S42" s="74"/>
      <c r="T42" s="74"/>
      <c r="U42" s="74"/>
      <c r="V42" s="74"/>
      <c r="W42" s="74"/>
      <c r="X42" s="85"/>
      <c r="Y42" s="86"/>
      <c r="Z42" s="86"/>
      <c r="AA42" s="86"/>
      <c r="AB42" s="86"/>
      <c r="AC42" s="86"/>
      <c r="AD42" s="89"/>
      <c r="AE42" s="106"/>
      <c r="AF42" s="106"/>
      <c r="AG42" s="106"/>
      <c r="AH42" s="106"/>
      <c r="AI42" s="106"/>
      <c r="AJ42" s="106"/>
      <c r="AK42" s="106"/>
      <c r="AL42" s="95"/>
      <c r="AM42" s="109"/>
      <c r="AN42" s="109"/>
      <c r="AO42" s="109"/>
      <c r="AP42" s="109"/>
      <c r="AQ42" s="109"/>
      <c r="AR42" s="109"/>
      <c r="AS42" s="109"/>
      <c r="AT42" s="85"/>
      <c r="AU42" s="86"/>
      <c r="AV42" s="86"/>
      <c r="AW42" s="86"/>
      <c r="AX42" s="86"/>
      <c r="AY42" s="86"/>
      <c r="AZ42" s="89"/>
    </row>
    <row r="43" spans="1:52" ht="15.75" thickBot="1">
      <c r="A43" s="82" t="s">
        <v>66</v>
      </c>
      <c r="B43" s="100">
        <v>0.15</v>
      </c>
      <c r="C43" s="288" t="s">
        <v>46</v>
      </c>
      <c r="D43" s="295"/>
      <c r="E43" s="131">
        <f>'Berechnung Ratierlich heute'!P6</f>
        <v>0</v>
      </c>
      <c r="J43" s="83"/>
      <c r="K43" s="102"/>
      <c r="L43" s="97"/>
      <c r="M43" s="97"/>
      <c r="N43" s="97"/>
      <c r="O43" s="97"/>
      <c r="P43" s="97"/>
      <c r="Q43" s="103"/>
      <c r="R43" s="74"/>
      <c r="S43" s="74"/>
      <c r="T43" s="74"/>
      <c r="U43" s="74"/>
      <c r="V43" s="74"/>
      <c r="W43" s="74"/>
      <c r="X43" s="85"/>
      <c r="Y43" s="86"/>
      <c r="Z43" s="86"/>
      <c r="AA43" s="86"/>
      <c r="AB43" s="86"/>
      <c r="AC43" s="86"/>
      <c r="AD43" s="89"/>
      <c r="AE43" s="106"/>
      <c r="AF43" s="106"/>
      <c r="AG43" s="106"/>
      <c r="AH43" s="106"/>
      <c r="AI43" s="106"/>
      <c r="AJ43" s="106"/>
      <c r="AK43" s="106"/>
      <c r="AL43" s="95"/>
      <c r="AM43" s="109"/>
      <c r="AN43" s="109"/>
      <c r="AO43" s="109"/>
      <c r="AP43" s="109"/>
      <c r="AQ43" s="109"/>
      <c r="AR43" s="109"/>
      <c r="AS43" s="109"/>
      <c r="AT43" s="85"/>
      <c r="AU43" s="86"/>
      <c r="AV43" s="86"/>
      <c r="AW43" s="86"/>
      <c r="AX43" s="86"/>
      <c r="AY43" s="86"/>
      <c r="AZ43" s="89"/>
    </row>
    <row r="44" spans="1:52">
      <c r="A44" s="12" t="s">
        <v>64</v>
      </c>
      <c r="B44" s="299" t="s">
        <v>17</v>
      </c>
      <c r="C44" s="299"/>
      <c r="D44" s="299" t="s">
        <v>67</v>
      </c>
      <c r="E44" s="299"/>
      <c r="F44" s="122" t="s">
        <v>9</v>
      </c>
      <c r="G44" s="299" t="s">
        <v>68</v>
      </c>
      <c r="H44" s="300"/>
      <c r="J44" s="83"/>
      <c r="K44" s="102"/>
      <c r="L44" s="97"/>
      <c r="M44" s="97"/>
      <c r="N44" s="97"/>
      <c r="O44" s="97"/>
      <c r="P44" s="97"/>
      <c r="Q44" s="103"/>
      <c r="R44" s="74"/>
      <c r="S44" s="74"/>
      <c r="T44" s="74"/>
      <c r="U44" s="74"/>
      <c r="V44" s="74"/>
      <c r="W44" s="74"/>
      <c r="X44" s="85"/>
      <c r="Y44" s="86"/>
      <c r="Z44" s="86"/>
      <c r="AA44" s="86"/>
      <c r="AB44" s="86"/>
      <c r="AC44" s="86"/>
      <c r="AD44" s="89"/>
      <c r="AE44" s="106"/>
      <c r="AF44" s="106"/>
      <c r="AG44" s="106"/>
      <c r="AH44" s="106"/>
      <c r="AI44" s="106"/>
      <c r="AJ44" s="106"/>
      <c r="AK44" s="106"/>
      <c r="AL44" s="95"/>
      <c r="AM44" s="109"/>
      <c r="AN44" s="109"/>
      <c r="AO44" s="109"/>
      <c r="AP44" s="109"/>
      <c r="AQ44" s="109"/>
      <c r="AR44" s="109"/>
      <c r="AS44" s="109"/>
      <c r="AT44" s="85"/>
      <c r="AU44" s="86"/>
      <c r="AV44" s="86"/>
      <c r="AW44" s="86"/>
      <c r="AX44" s="86"/>
      <c r="AY44" s="86"/>
      <c r="AZ44" s="89"/>
    </row>
    <row r="45" spans="1:52">
      <c r="A45" s="8" t="s">
        <v>65</v>
      </c>
      <c r="B45" s="311">
        <f>E28-E29</f>
        <v>86376.000000000058</v>
      </c>
      <c r="C45" s="311"/>
      <c r="D45" s="311">
        <f>B45*(1-B43)</f>
        <v>73419.600000000049</v>
      </c>
      <c r="E45" s="311"/>
      <c r="F45" s="124">
        <f>D45*'Berechnung Ratierlich heute'!M2</f>
        <v>19364.419500000011</v>
      </c>
      <c r="G45" s="311">
        <f>E28-F45</f>
        <v>167011.58050000004</v>
      </c>
      <c r="H45" s="312"/>
      <c r="J45" s="83"/>
      <c r="K45" s="102"/>
      <c r="L45" s="97"/>
      <c r="M45" s="97"/>
      <c r="N45" s="97"/>
      <c r="O45" s="97"/>
      <c r="P45" s="97"/>
      <c r="Q45" s="103"/>
      <c r="R45" s="74"/>
      <c r="S45" s="74"/>
      <c r="T45" s="74"/>
      <c r="U45" s="74"/>
      <c r="V45" s="74"/>
      <c r="W45" s="74"/>
      <c r="X45" s="85"/>
      <c r="Y45" s="86"/>
      <c r="Z45" s="86"/>
      <c r="AA45" s="86"/>
      <c r="AB45" s="86"/>
      <c r="AC45" s="86"/>
      <c r="AD45" s="89"/>
      <c r="AE45" s="106"/>
      <c r="AF45" s="106"/>
      <c r="AG45" s="106"/>
      <c r="AH45" s="106"/>
      <c r="AI45" s="106"/>
      <c r="AJ45" s="106"/>
      <c r="AK45" s="106"/>
      <c r="AL45" s="95"/>
      <c r="AM45" s="109"/>
      <c r="AN45" s="109"/>
      <c r="AO45" s="109"/>
      <c r="AP45" s="109"/>
      <c r="AQ45" s="109"/>
      <c r="AR45" s="109"/>
      <c r="AS45" s="109"/>
      <c r="AT45" s="85"/>
      <c r="AU45" s="86"/>
      <c r="AV45" s="86"/>
      <c r="AW45" s="86"/>
      <c r="AX45" s="86"/>
      <c r="AY45" s="86"/>
      <c r="AZ45" s="89"/>
    </row>
    <row r="46" spans="1:52">
      <c r="A46" s="8" t="s">
        <v>56</v>
      </c>
      <c r="B46" s="311">
        <f>B45</f>
        <v>86376.000000000058</v>
      </c>
      <c r="C46" s="311"/>
      <c r="D46" s="311">
        <f>D45</f>
        <v>73419.600000000049</v>
      </c>
      <c r="E46" s="311"/>
      <c r="F46" s="124">
        <f>steuer(B9,Eingabe!C8+Hilfe!D46/2)-steuer(B9,Eingabe!C8)</f>
        <v>11777.821866565529</v>
      </c>
      <c r="G46" s="311">
        <f>$E$28-F46</f>
        <v>174598.17813343453</v>
      </c>
      <c r="H46" s="312"/>
      <c r="J46" s="83"/>
      <c r="K46" s="102"/>
      <c r="L46" s="97"/>
      <c r="M46" s="97"/>
      <c r="N46" s="97"/>
      <c r="O46" s="97"/>
      <c r="P46" s="97"/>
      <c r="Q46" s="103"/>
      <c r="R46" s="74"/>
      <c r="S46" s="74"/>
      <c r="T46" s="74"/>
      <c r="U46" s="74"/>
      <c r="V46" s="74"/>
      <c r="W46" s="74"/>
      <c r="X46" s="85"/>
      <c r="Y46" s="86"/>
      <c r="Z46" s="86"/>
      <c r="AA46" s="86"/>
      <c r="AB46" s="86"/>
      <c r="AC46" s="86"/>
      <c r="AD46" s="89"/>
      <c r="AE46" s="106"/>
      <c r="AF46" s="106"/>
      <c r="AG46" s="106"/>
      <c r="AH46" s="106"/>
      <c r="AI46" s="106"/>
      <c r="AJ46" s="106"/>
      <c r="AK46" s="106"/>
      <c r="AL46" s="95"/>
      <c r="AM46" s="109"/>
      <c r="AN46" s="109"/>
      <c r="AO46" s="109"/>
      <c r="AP46" s="109"/>
      <c r="AQ46" s="109"/>
      <c r="AR46" s="109"/>
      <c r="AS46" s="109"/>
      <c r="AT46" s="85"/>
      <c r="AU46" s="86"/>
      <c r="AV46" s="86"/>
      <c r="AW46" s="86"/>
      <c r="AX46" s="86"/>
      <c r="AY46" s="86"/>
      <c r="AZ46" s="89"/>
    </row>
    <row r="47" spans="1:52">
      <c r="A47" s="8" t="s">
        <v>69</v>
      </c>
      <c r="B47" s="311">
        <f>B46</f>
        <v>86376.000000000058</v>
      </c>
      <c r="C47" s="311"/>
      <c r="D47" s="311">
        <f>D46</f>
        <v>73419.600000000049</v>
      </c>
      <c r="E47" s="311"/>
      <c r="F47" s="124">
        <f>(steuer(B9,Eingabe!C8+Hilfe!D46/(20*2))-steuer(B9,Eingabe!C8))*20</f>
        <v>10440.884953684126</v>
      </c>
      <c r="G47" s="311">
        <f>$E$28-F47</f>
        <v>175935.11504631594</v>
      </c>
      <c r="H47" s="312"/>
      <c r="J47" s="83"/>
      <c r="K47" s="102"/>
      <c r="L47" s="97"/>
      <c r="M47" s="97"/>
      <c r="N47" s="97"/>
      <c r="O47" s="97"/>
      <c r="P47" s="97"/>
      <c r="Q47" s="103"/>
      <c r="R47" s="74"/>
      <c r="S47" s="74"/>
      <c r="T47" s="74"/>
      <c r="U47" s="74"/>
      <c r="V47" s="74"/>
      <c r="W47" s="74"/>
      <c r="X47" s="85"/>
      <c r="Y47" s="86"/>
      <c r="Z47" s="86"/>
      <c r="AA47" s="86"/>
      <c r="AB47" s="86"/>
      <c r="AC47" s="86"/>
      <c r="AD47" s="89"/>
      <c r="AE47" s="106"/>
      <c r="AF47" s="106"/>
      <c r="AG47" s="106"/>
      <c r="AH47" s="106"/>
      <c r="AI47" s="106"/>
      <c r="AJ47" s="106"/>
      <c r="AK47" s="106"/>
      <c r="AL47" s="95"/>
      <c r="AM47" s="109"/>
      <c r="AN47" s="109"/>
      <c r="AO47" s="109"/>
      <c r="AP47" s="109"/>
      <c r="AQ47" s="109"/>
      <c r="AR47" s="109"/>
      <c r="AS47" s="109"/>
      <c r="AT47" s="85"/>
      <c r="AU47" s="86"/>
      <c r="AV47" s="86"/>
      <c r="AW47" s="86"/>
      <c r="AX47" s="86"/>
      <c r="AY47" s="86"/>
      <c r="AZ47" s="89"/>
    </row>
    <row r="48" spans="1:52" ht="15.75" thickBot="1">
      <c r="A48" s="10" t="s">
        <v>70</v>
      </c>
      <c r="B48" s="314">
        <f>B47</f>
        <v>86376.000000000058</v>
      </c>
      <c r="C48" s="314"/>
      <c r="D48" s="314">
        <v>0</v>
      </c>
      <c r="E48" s="314"/>
      <c r="F48" s="126">
        <v>0</v>
      </c>
      <c r="G48" s="314">
        <f t="shared" ref="G48" si="2">$E$28-F48</f>
        <v>186376.00000000006</v>
      </c>
      <c r="H48" s="315"/>
      <c r="J48" s="83"/>
      <c r="K48" s="102"/>
      <c r="L48" s="97"/>
      <c r="M48" s="97"/>
      <c r="N48" s="97"/>
      <c r="O48" s="97"/>
      <c r="P48" s="97"/>
      <c r="Q48" s="103"/>
      <c r="R48" s="74"/>
      <c r="S48" s="74"/>
      <c r="T48" s="74"/>
      <c r="U48" s="74"/>
      <c r="V48" s="74"/>
      <c r="W48" s="74"/>
      <c r="X48" s="85"/>
      <c r="Y48" s="86"/>
      <c r="Z48" s="86"/>
      <c r="AA48" s="86"/>
      <c r="AB48" s="86"/>
      <c r="AC48" s="86"/>
      <c r="AD48" s="89"/>
      <c r="AE48" s="106"/>
      <c r="AF48" s="106"/>
      <c r="AG48" s="106"/>
      <c r="AH48" s="106"/>
      <c r="AI48" s="106"/>
      <c r="AJ48" s="106"/>
      <c r="AK48" s="106"/>
      <c r="AL48" s="95"/>
      <c r="AM48" s="109"/>
      <c r="AN48" s="109"/>
      <c r="AO48" s="109"/>
      <c r="AP48" s="109"/>
      <c r="AQ48" s="109"/>
      <c r="AR48" s="109"/>
      <c r="AS48" s="109"/>
      <c r="AT48" s="85"/>
      <c r="AU48" s="86"/>
      <c r="AV48" s="86"/>
      <c r="AW48" s="86"/>
      <c r="AX48" s="86"/>
      <c r="AY48" s="86"/>
      <c r="AZ48" s="89"/>
    </row>
    <row r="49" spans="1:52">
      <c r="D49" s="301"/>
      <c r="E49" s="301"/>
      <c r="G49" s="301"/>
      <c r="H49" s="301"/>
      <c r="J49" s="83"/>
      <c r="K49" s="102"/>
      <c r="L49" s="97"/>
      <c r="M49" s="97"/>
      <c r="N49" s="97"/>
      <c r="O49" s="97"/>
      <c r="P49" s="97"/>
      <c r="Q49" s="103"/>
      <c r="R49" s="74"/>
      <c r="S49" s="74"/>
      <c r="T49" s="74"/>
      <c r="U49" s="74"/>
      <c r="V49" s="74"/>
      <c r="W49" s="74"/>
      <c r="X49" s="85"/>
      <c r="Y49" s="86"/>
      <c r="Z49" s="86"/>
      <c r="AA49" s="86"/>
      <c r="AB49" s="86"/>
      <c r="AC49" s="86"/>
      <c r="AD49" s="89"/>
      <c r="AE49" s="106"/>
      <c r="AF49" s="106"/>
      <c r="AG49" s="106"/>
      <c r="AH49" s="106"/>
      <c r="AI49" s="106"/>
      <c r="AJ49" s="106"/>
      <c r="AK49" s="106"/>
      <c r="AL49" s="95"/>
      <c r="AM49" s="109"/>
      <c r="AN49" s="109"/>
      <c r="AO49" s="109"/>
      <c r="AP49" s="109"/>
      <c r="AQ49" s="109"/>
      <c r="AR49" s="109"/>
      <c r="AS49" s="109"/>
      <c r="AT49" s="85"/>
      <c r="AU49" s="86"/>
      <c r="AV49" s="86"/>
      <c r="AW49" s="86"/>
      <c r="AX49" s="86"/>
      <c r="AY49" s="86"/>
      <c r="AZ49" s="89"/>
    </row>
    <row r="50" spans="1:52">
      <c r="D50" s="301"/>
      <c r="E50" s="301"/>
      <c r="G50" s="301"/>
      <c r="H50" s="301"/>
      <c r="J50" s="83"/>
      <c r="K50" s="102"/>
      <c r="L50" s="97"/>
      <c r="M50" s="97"/>
      <c r="N50" s="97"/>
      <c r="O50" s="97"/>
      <c r="P50" s="97"/>
      <c r="Q50" s="103"/>
      <c r="R50" s="74"/>
      <c r="S50" s="74"/>
      <c r="T50" s="74"/>
      <c r="U50" s="74"/>
      <c r="V50" s="74"/>
      <c r="W50" s="74"/>
      <c r="X50" s="85"/>
      <c r="Y50" s="86"/>
      <c r="Z50" s="86"/>
      <c r="AA50" s="86"/>
      <c r="AB50" s="86"/>
      <c r="AC50" s="86"/>
      <c r="AD50" s="89"/>
      <c r="AE50" s="106"/>
      <c r="AF50" s="106"/>
      <c r="AG50" s="106"/>
      <c r="AH50" s="106"/>
      <c r="AI50" s="106"/>
      <c r="AJ50" s="106"/>
      <c r="AK50" s="106"/>
      <c r="AL50" s="95"/>
      <c r="AM50" s="109"/>
      <c r="AN50" s="109"/>
      <c r="AO50" s="109"/>
      <c r="AP50" s="109"/>
      <c r="AQ50" s="109"/>
      <c r="AR50" s="109"/>
      <c r="AS50" s="109"/>
      <c r="AT50" s="85"/>
      <c r="AU50" s="86"/>
      <c r="AV50" s="86"/>
      <c r="AW50" s="86"/>
      <c r="AX50" s="86"/>
      <c r="AY50" s="86"/>
      <c r="AZ50" s="89"/>
    </row>
    <row r="51" spans="1:52">
      <c r="D51" s="301"/>
      <c r="E51" s="301"/>
      <c r="G51" s="301"/>
      <c r="H51" s="301"/>
      <c r="J51" s="83"/>
      <c r="K51" s="102"/>
      <c r="L51" s="97"/>
      <c r="M51" s="97"/>
      <c r="N51" s="97"/>
      <c r="O51" s="97"/>
      <c r="P51" s="97"/>
      <c r="Q51" s="103"/>
      <c r="R51" s="74"/>
      <c r="S51" s="74"/>
      <c r="T51" s="74"/>
      <c r="U51" s="74"/>
      <c r="V51" s="74"/>
      <c r="W51" s="74"/>
      <c r="X51" s="85"/>
      <c r="Y51" s="86"/>
      <c r="Z51" s="86"/>
      <c r="AA51" s="86"/>
      <c r="AB51" s="86"/>
      <c r="AC51" s="86"/>
      <c r="AD51" s="89"/>
      <c r="AE51" s="106"/>
      <c r="AF51" s="106"/>
      <c r="AG51" s="106"/>
      <c r="AH51" s="106"/>
      <c r="AI51" s="106"/>
      <c r="AJ51" s="106"/>
      <c r="AK51" s="106"/>
      <c r="AL51" s="95"/>
      <c r="AM51" s="109"/>
      <c r="AN51" s="109"/>
      <c r="AO51" s="109"/>
      <c r="AP51" s="109"/>
      <c r="AQ51" s="109"/>
      <c r="AR51" s="109"/>
      <c r="AS51" s="109"/>
      <c r="AT51" s="85"/>
      <c r="AU51" s="86"/>
      <c r="AV51" s="86"/>
      <c r="AW51" s="86"/>
      <c r="AX51" s="86"/>
      <c r="AY51" s="86"/>
      <c r="AZ51" s="89"/>
    </row>
    <row r="52" spans="1:52" ht="15.75" thickBot="1">
      <c r="D52" s="301"/>
      <c r="E52" s="301"/>
      <c r="G52" s="301"/>
      <c r="H52" s="301"/>
      <c r="J52" s="83"/>
      <c r="K52" s="102"/>
      <c r="L52" s="97"/>
      <c r="M52" s="97"/>
      <c r="N52" s="97"/>
      <c r="O52" s="97"/>
      <c r="P52" s="97"/>
      <c r="Q52" s="103"/>
      <c r="R52" s="74"/>
      <c r="S52" s="74"/>
      <c r="T52" s="74"/>
      <c r="U52" s="74"/>
      <c r="V52" s="74"/>
      <c r="W52" s="74"/>
      <c r="X52" s="85"/>
      <c r="Y52" s="86"/>
      <c r="Z52" s="86"/>
      <c r="AA52" s="86"/>
      <c r="AB52" s="86"/>
      <c r="AC52" s="86"/>
      <c r="AD52" s="89"/>
      <c r="AE52" s="106"/>
      <c r="AF52" s="106"/>
      <c r="AG52" s="106"/>
      <c r="AH52" s="106"/>
      <c r="AI52" s="106"/>
      <c r="AJ52" s="106"/>
      <c r="AK52" s="106"/>
      <c r="AL52" s="95"/>
      <c r="AM52" s="109"/>
      <c r="AN52" s="109"/>
      <c r="AO52" s="109"/>
      <c r="AP52" s="109"/>
      <c r="AQ52" s="109"/>
      <c r="AR52" s="109"/>
      <c r="AS52" s="109"/>
      <c r="AT52" s="85"/>
      <c r="AU52" s="86"/>
      <c r="AV52" s="86"/>
      <c r="AW52" s="86"/>
      <c r="AX52" s="86"/>
      <c r="AY52" s="86"/>
      <c r="AZ52" s="89"/>
    </row>
    <row r="53" spans="1:52">
      <c r="A53" s="104" t="s">
        <v>14</v>
      </c>
      <c r="B53" s="7">
        <v>1</v>
      </c>
      <c r="AM53" s="97"/>
      <c r="AN53" s="97"/>
      <c r="AO53" s="97"/>
      <c r="AP53" s="97"/>
      <c r="AQ53" s="97"/>
      <c r="AR53" s="97"/>
      <c r="AS53" s="97"/>
      <c r="AT53" s="106"/>
      <c r="AU53" s="106"/>
      <c r="AV53" s="106"/>
      <c r="AW53" s="106"/>
      <c r="AX53" s="106"/>
      <c r="AY53" s="106"/>
      <c r="AZ53" s="106"/>
    </row>
    <row r="54" spans="1:52" ht="15.75" thickBot="1">
      <c r="A54" s="8">
        <v>12</v>
      </c>
      <c r="B54" s="105">
        <f>B53+11</f>
        <v>12</v>
      </c>
      <c r="AM54" s="97"/>
      <c r="AN54" s="97"/>
      <c r="AO54" s="97"/>
      <c r="AP54" s="97"/>
      <c r="AQ54" s="97"/>
      <c r="AR54" s="97"/>
      <c r="AS54" s="97"/>
    </row>
    <row r="55" spans="1:52" ht="15.75" thickBot="1">
      <c r="A55" s="8">
        <v>13</v>
      </c>
      <c r="B55" s="9"/>
      <c r="C55" s="276" t="s">
        <v>147</v>
      </c>
      <c r="D55" s="277"/>
      <c r="E55" s="277"/>
      <c r="F55" s="277"/>
      <c r="G55" s="278"/>
      <c r="AM55" s="97"/>
      <c r="AN55" s="97"/>
      <c r="AO55" s="97"/>
      <c r="AP55" s="97"/>
      <c r="AQ55" s="97"/>
      <c r="AR55" s="97"/>
      <c r="AS55" s="97"/>
    </row>
    <row r="56" spans="1:52">
      <c r="A56" s="8">
        <v>14</v>
      </c>
      <c r="B56" s="9"/>
      <c r="C56" s="175" t="s">
        <v>14</v>
      </c>
      <c r="D56" s="173" t="s">
        <v>80</v>
      </c>
      <c r="E56" s="173" t="s">
        <v>81</v>
      </c>
      <c r="F56" s="173" t="s">
        <v>82</v>
      </c>
      <c r="G56" s="174" t="s">
        <v>83</v>
      </c>
      <c r="AM56" s="97"/>
      <c r="AN56" s="97"/>
      <c r="AO56" s="97"/>
      <c r="AP56" s="97"/>
      <c r="AQ56" s="97"/>
      <c r="AR56" s="97"/>
      <c r="AS56" s="97"/>
    </row>
    <row r="57" spans="1:52">
      <c r="A57" s="8">
        <v>15</v>
      </c>
      <c r="B57" s="73"/>
      <c r="C57" s="183">
        <v>12</v>
      </c>
      <c r="D57" s="323">
        <v>1.0661566447326017E-2</v>
      </c>
      <c r="E57" s="323">
        <v>5.7439106935899882E-2</v>
      </c>
      <c r="F57" s="323">
        <v>0.12464875304130613</v>
      </c>
      <c r="G57" s="324">
        <v>602</v>
      </c>
      <c r="AM57" s="97"/>
      <c r="AN57" s="97"/>
      <c r="AO57" s="97"/>
      <c r="AP57" s="97"/>
      <c r="AQ57" s="97"/>
      <c r="AR57" s="97"/>
      <c r="AS57" s="97"/>
    </row>
    <row r="58" spans="1:52">
      <c r="A58" s="8">
        <v>16</v>
      </c>
      <c r="B58" s="73"/>
      <c r="C58" s="183">
        <v>13</v>
      </c>
      <c r="D58" s="323">
        <v>1.1417348913176945E-2</v>
      </c>
      <c r="E58" s="323">
        <v>5.7610690758724777E-2</v>
      </c>
      <c r="F58" s="323">
        <v>0.1230823515214331</v>
      </c>
      <c r="G58" s="324">
        <v>590</v>
      </c>
      <c r="AM58" s="97"/>
      <c r="AN58" s="97"/>
      <c r="AO58" s="97"/>
      <c r="AP58" s="97"/>
      <c r="AQ58" s="97"/>
      <c r="AR58" s="97"/>
      <c r="AS58" s="97"/>
    </row>
    <row r="59" spans="1:52">
      <c r="A59" s="8">
        <v>17</v>
      </c>
      <c r="B59" s="73"/>
      <c r="C59" s="183">
        <v>14</v>
      </c>
      <c r="D59" s="323">
        <v>1.0122697426292451E-2</v>
      </c>
      <c r="E59" s="323">
        <v>5.7855661102952025E-2</v>
      </c>
      <c r="F59" s="323">
        <v>0.12098401277418216</v>
      </c>
      <c r="G59" s="324">
        <v>578</v>
      </c>
      <c r="AM59" s="97"/>
      <c r="AN59" s="97"/>
      <c r="AO59" s="97"/>
      <c r="AP59" s="97"/>
      <c r="AQ59" s="97"/>
      <c r="AR59" s="97"/>
      <c r="AS59" s="97"/>
    </row>
    <row r="60" spans="1:52">
      <c r="A60" s="8">
        <v>18</v>
      </c>
      <c r="B60" s="73"/>
      <c r="C60" s="183">
        <v>15</v>
      </c>
      <c r="D60" s="323">
        <v>9.0283536608991525E-3</v>
      </c>
      <c r="E60" s="323">
        <v>5.8450681657287631E-2</v>
      </c>
      <c r="F60" s="323">
        <v>0.11641458853265951</v>
      </c>
      <c r="G60" s="324">
        <v>566</v>
      </c>
      <c r="AM60" s="97"/>
      <c r="AN60" s="97"/>
      <c r="AO60" s="97"/>
      <c r="AP60" s="97"/>
      <c r="AQ60" s="97"/>
      <c r="AR60" s="97"/>
      <c r="AS60" s="97"/>
    </row>
    <row r="61" spans="1:52">
      <c r="A61" s="8">
        <v>19</v>
      </c>
      <c r="B61" s="73"/>
      <c r="C61" s="183">
        <v>16</v>
      </c>
      <c r="D61" s="323">
        <v>1.0302497511491223E-2</v>
      </c>
      <c r="E61" s="323">
        <v>5.9304482811784395E-2</v>
      </c>
      <c r="F61" s="323">
        <v>0.11232857916721893</v>
      </c>
      <c r="G61" s="324">
        <v>554</v>
      </c>
    </row>
    <row r="62" spans="1:52">
      <c r="A62" s="8">
        <v>20</v>
      </c>
      <c r="B62" s="73"/>
      <c r="C62" s="183">
        <v>17</v>
      </c>
      <c r="D62" s="323">
        <v>1.181881560338096E-2</v>
      </c>
      <c r="E62" s="323">
        <v>6.0162318682374857E-2</v>
      </c>
      <c r="F62" s="323">
        <v>0.11258098667728098</v>
      </c>
      <c r="G62" s="324">
        <v>542</v>
      </c>
    </row>
    <row r="63" spans="1:52">
      <c r="A63" s="8">
        <v>21</v>
      </c>
      <c r="B63" s="73"/>
      <c r="C63" s="183">
        <v>18</v>
      </c>
      <c r="D63" s="323">
        <v>1.1033498860095725E-2</v>
      </c>
      <c r="E63" s="323">
        <v>6.1030989239705936E-2</v>
      </c>
      <c r="F63" s="323">
        <v>0.11255495315676046</v>
      </c>
      <c r="G63" s="324">
        <v>530</v>
      </c>
    </row>
    <row r="64" spans="1:52">
      <c r="A64" s="8">
        <v>22</v>
      </c>
      <c r="B64" s="73"/>
      <c r="C64" s="183">
        <v>19</v>
      </c>
      <c r="D64" s="323">
        <v>1.1282003636983069E-2</v>
      </c>
      <c r="E64" s="323">
        <v>6.1908582687005914E-2</v>
      </c>
      <c r="F64" s="323">
        <v>0.11467162427412292</v>
      </c>
      <c r="G64" s="324">
        <v>518</v>
      </c>
    </row>
    <row r="65" spans="1:7">
      <c r="A65" s="8">
        <v>23</v>
      </c>
      <c r="B65" s="73"/>
      <c r="C65" s="183">
        <v>20</v>
      </c>
      <c r="D65" s="323">
        <v>1.1716713955294394E-2</v>
      </c>
      <c r="E65" s="323">
        <v>6.2731605274596008E-2</v>
      </c>
      <c r="F65" s="323">
        <v>0.11549003480719308</v>
      </c>
      <c r="G65" s="324">
        <v>506</v>
      </c>
    </row>
    <row r="66" spans="1:7">
      <c r="A66" s="8">
        <v>24</v>
      </c>
      <c r="B66" s="73"/>
      <c r="C66" s="183">
        <v>21</v>
      </c>
      <c r="D66" s="323">
        <v>1.1964196472696425E-2</v>
      </c>
      <c r="E66" s="323">
        <v>6.3621138764988136E-2</v>
      </c>
      <c r="F66" s="323">
        <v>0.11572650549583886</v>
      </c>
      <c r="G66" s="324">
        <v>494</v>
      </c>
    </row>
    <row r="67" spans="1:7">
      <c r="A67" s="8">
        <v>25</v>
      </c>
      <c r="B67" s="73"/>
      <c r="C67" s="183">
        <v>22</v>
      </c>
      <c r="D67" s="323">
        <v>1.1092807331060882E-2</v>
      </c>
      <c r="E67" s="323">
        <v>6.4675575243752392E-2</v>
      </c>
      <c r="F67" s="323">
        <v>0.11489311338332596</v>
      </c>
      <c r="G67" s="324">
        <v>482</v>
      </c>
    </row>
    <row r="68" spans="1:7">
      <c r="A68" s="8">
        <v>26</v>
      </c>
      <c r="B68" s="73"/>
      <c r="C68" s="183">
        <v>23</v>
      </c>
      <c r="D68" s="323">
        <v>1.0644747975614897E-2</v>
      </c>
      <c r="E68" s="323">
        <v>6.5870349499043065E-2</v>
      </c>
      <c r="F68" s="323">
        <v>0.11293478601211858</v>
      </c>
      <c r="G68" s="324">
        <v>470</v>
      </c>
    </row>
    <row r="69" spans="1:7">
      <c r="A69" s="8">
        <v>27</v>
      </c>
      <c r="B69" s="73"/>
      <c r="C69" s="183">
        <v>24</v>
      </c>
      <c r="D69" s="323">
        <v>1.4042962889079818E-2</v>
      </c>
      <c r="E69" s="323">
        <v>6.7144346791710455E-2</v>
      </c>
      <c r="F69" s="323">
        <v>0.1108562459108334</v>
      </c>
      <c r="G69" s="324">
        <v>458</v>
      </c>
    </row>
    <row r="70" spans="1:7">
      <c r="A70" s="8">
        <v>28</v>
      </c>
      <c r="B70" s="73"/>
      <c r="C70" s="183">
        <v>25</v>
      </c>
      <c r="D70" s="323">
        <v>1.8632204017882167E-2</v>
      </c>
      <c r="E70" s="323">
        <v>6.8379581497945263E-2</v>
      </c>
      <c r="F70" s="323">
        <v>0.10890217461790995</v>
      </c>
      <c r="G70" s="324">
        <v>446</v>
      </c>
    </row>
    <row r="71" spans="1:7">
      <c r="A71" s="8">
        <v>29</v>
      </c>
      <c r="B71" s="73"/>
      <c r="C71" s="183">
        <v>26</v>
      </c>
      <c r="D71" s="323">
        <v>2.6691187303115649E-2</v>
      </c>
      <c r="E71" s="323">
        <v>6.9501543101361793E-2</v>
      </c>
      <c r="F71" s="323">
        <v>0.10679558563059101</v>
      </c>
      <c r="G71" s="324">
        <v>434</v>
      </c>
    </row>
    <row r="72" spans="1:7">
      <c r="A72" s="8">
        <v>30</v>
      </c>
      <c r="B72" s="73"/>
      <c r="C72" s="183">
        <v>27</v>
      </c>
      <c r="D72" s="323">
        <v>3.9263158053349484E-2</v>
      </c>
      <c r="E72" s="323">
        <v>7.0320001405672405E-2</v>
      </c>
      <c r="F72" s="323">
        <v>0.10509812077396401</v>
      </c>
      <c r="G72" s="324">
        <v>422</v>
      </c>
    </row>
    <row r="73" spans="1:7">
      <c r="A73" s="8">
        <v>31</v>
      </c>
      <c r="B73" s="73"/>
      <c r="C73" s="183">
        <v>28</v>
      </c>
      <c r="D73" s="323">
        <v>4.7098126387715725E-2</v>
      </c>
      <c r="E73" s="323">
        <v>7.0869759788648387E-2</v>
      </c>
      <c r="F73" s="323">
        <v>0.10365544172157032</v>
      </c>
      <c r="G73" s="324">
        <v>410</v>
      </c>
    </row>
    <row r="74" spans="1:7">
      <c r="A74" s="8">
        <v>32</v>
      </c>
      <c r="B74" s="73"/>
      <c r="C74" s="183">
        <v>29</v>
      </c>
      <c r="D74" s="323">
        <v>4.83484802683527E-2</v>
      </c>
      <c r="E74" s="323">
        <v>7.1302389997794507E-2</v>
      </c>
      <c r="F74" s="323">
        <v>0.10195611012365842</v>
      </c>
      <c r="G74" s="324">
        <v>398</v>
      </c>
    </row>
    <row r="75" spans="1:7">
      <c r="A75" s="8">
        <v>33</v>
      </c>
      <c r="B75" s="73"/>
      <c r="C75" s="183">
        <v>30</v>
      </c>
      <c r="D75" s="323">
        <v>5.1566589583357636E-2</v>
      </c>
      <c r="E75" s="323">
        <v>7.166459794169143E-2</v>
      </c>
      <c r="F75" s="323">
        <v>9.958851867898813E-2</v>
      </c>
      <c r="G75" s="324">
        <v>386</v>
      </c>
    </row>
    <row r="76" spans="1:7">
      <c r="A76" s="8">
        <v>34</v>
      </c>
      <c r="B76" s="73"/>
      <c r="C76" s="183">
        <v>31</v>
      </c>
      <c r="D76" s="323">
        <v>5.4414268052191295E-2</v>
      </c>
      <c r="E76" s="323">
        <v>7.191128550796988E-2</v>
      </c>
      <c r="F76" s="323">
        <v>9.7562800715693176E-2</v>
      </c>
      <c r="G76" s="324">
        <v>374</v>
      </c>
    </row>
    <row r="77" spans="1:7">
      <c r="A77" s="8">
        <v>35</v>
      </c>
      <c r="B77" s="73"/>
      <c r="C77" s="183">
        <v>32</v>
      </c>
      <c r="D77" s="323">
        <v>5.3152715032958264E-2</v>
      </c>
      <c r="E77" s="323">
        <v>7.2156981275258714E-2</v>
      </c>
      <c r="F77" s="323">
        <v>9.5589400769788502E-2</v>
      </c>
      <c r="G77" s="324">
        <v>362</v>
      </c>
    </row>
    <row r="78" spans="1:7">
      <c r="A78" s="8">
        <v>36</v>
      </c>
      <c r="B78" s="73"/>
      <c r="C78" s="183">
        <v>33</v>
      </c>
      <c r="D78" s="323">
        <v>5.2330881361393196E-2</v>
      </c>
      <c r="E78" s="323">
        <v>7.2465360057682726E-2</v>
      </c>
      <c r="F78" s="323">
        <v>9.3262528463848401E-2</v>
      </c>
      <c r="G78" s="324">
        <v>350</v>
      </c>
    </row>
    <row r="79" spans="1:7">
      <c r="A79" s="8">
        <v>37</v>
      </c>
      <c r="B79" s="73"/>
      <c r="C79" s="183">
        <v>34</v>
      </c>
      <c r="D79" s="323">
        <v>5.3494955272384695E-2</v>
      </c>
      <c r="E79" s="323">
        <v>7.2790940866619622E-2</v>
      </c>
      <c r="F79" s="323">
        <v>9.109330902655062E-2</v>
      </c>
      <c r="G79" s="324">
        <v>338</v>
      </c>
    </row>
    <row r="80" spans="1:7">
      <c r="A80" s="8">
        <v>38</v>
      </c>
      <c r="B80" s="73"/>
      <c r="C80" s="183">
        <v>35</v>
      </c>
      <c r="D80" s="323">
        <v>5.4827428689146904E-2</v>
      </c>
      <c r="E80" s="323">
        <v>7.3066702949998688E-2</v>
      </c>
      <c r="F80" s="323">
        <v>8.9484330681309732E-2</v>
      </c>
      <c r="G80" s="324">
        <v>326</v>
      </c>
    </row>
    <row r="81" spans="1:7">
      <c r="A81" s="8">
        <v>39</v>
      </c>
      <c r="B81" s="73"/>
      <c r="C81" s="183">
        <v>36</v>
      </c>
      <c r="D81" s="323">
        <v>5.4273989767256503E-2</v>
      </c>
      <c r="E81" s="323">
        <v>7.3381331423619536E-2</v>
      </c>
      <c r="F81" s="323">
        <v>8.8313922863288707E-2</v>
      </c>
      <c r="G81" s="324">
        <v>314</v>
      </c>
    </row>
    <row r="82" spans="1:7">
      <c r="A82" s="8">
        <v>40</v>
      </c>
      <c r="B82" s="73"/>
      <c r="C82" s="183">
        <v>37</v>
      </c>
      <c r="D82" s="323">
        <v>5.5948277416103795E-2</v>
      </c>
      <c r="E82" s="323">
        <v>7.3712138423503423E-2</v>
      </c>
      <c r="F82" s="323">
        <v>8.670591443713746E-2</v>
      </c>
      <c r="G82" s="324">
        <v>302</v>
      </c>
    </row>
    <row r="83" spans="1:7">
      <c r="A83" s="8">
        <v>41</v>
      </c>
      <c r="B83" s="73"/>
      <c r="C83" s="183">
        <v>38</v>
      </c>
      <c r="D83" s="323">
        <v>6.0496764289310653E-2</v>
      </c>
      <c r="E83" s="323">
        <v>7.3935716510545951E-2</v>
      </c>
      <c r="F83" s="323">
        <v>8.5000989947853281E-2</v>
      </c>
      <c r="G83" s="324">
        <v>290</v>
      </c>
    </row>
    <row r="84" spans="1:7">
      <c r="A84" s="8">
        <v>42</v>
      </c>
      <c r="B84" s="73"/>
      <c r="C84" s="183">
        <v>39</v>
      </c>
      <c r="D84" s="323">
        <v>6.6765989913457419E-2</v>
      </c>
      <c r="E84" s="323">
        <v>7.3905247534053115E-2</v>
      </c>
      <c r="F84" s="323">
        <v>8.3439763043030593E-2</v>
      </c>
      <c r="G84" s="324">
        <v>278</v>
      </c>
    </row>
    <row r="85" spans="1:7">
      <c r="A85" s="8">
        <v>43</v>
      </c>
      <c r="B85" s="73"/>
      <c r="C85" s="183">
        <v>40</v>
      </c>
      <c r="D85" s="323">
        <v>6.7480328504256767E-2</v>
      </c>
      <c r="E85" s="323">
        <v>7.359318656533799E-2</v>
      </c>
      <c r="F85" s="323">
        <v>8.2210257858372354E-2</v>
      </c>
      <c r="G85" s="324">
        <v>266</v>
      </c>
    </row>
    <row r="86" spans="1:7">
      <c r="A86" s="8">
        <v>44</v>
      </c>
      <c r="B86" s="73"/>
      <c r="C86" s="183">
        <v>41</v>
      </c>
      <c r="D86" s="323">
        <v>6.6801881070514602E-2</v>
      </c>
      <c r="E86" s="323">
        <v>7.2990028312728994E-2</v>
      </c>
      <c r="F86" s="323">
        <v>8.0618318819494078E-2</v>
      </c>
      <c r="G86" s="324">
        <v>254</v>
      </c>
    </row>
    <row r="87" spans="1:7">
      <c r="A87" s="8">
        <v>45</v>
      </c>
      <c r="B87" s="73"/>
      <c r="C87" s="183">
        <v>42</v>
      </c>
      <c r="D87" s="323">
        <v>6.5861228158215865E-2</v>
      </c>
      <c r="E87" s="323">
        <v>7.2112611808989688E-2</v>
      </c>
      <c r="F87" s="323">
        <v>7.8953096910396967E-2</v>
      </c>
      <c r="G87" s="324">
        <v>242</v>
      </c>
    </row>
    <row r="88" spans="1:7">
      <c r="A88" s="8">
        <v>46</v>
      </c>
      <c r="B88" s="73"/>
      <c r="C88" s="183">
        <v>43</v>
      </c>
      <c r="D88" s="323">
        <v>6.4923189416606367E-2</v>
      </c>
      <c r="E88" s="323">
        <v>7.1134350828169282E-2</v>
      </c>
      <c r="F88" s="323">
        <v>7.6911671183653316E-2</v>
      </c>
      <c r="G88" s="324">
        <v>230</v>
      </c>
    </row>
    <row r="89" spans="1:7">
      <c r="A89" s="8">
        <v>47</v>
      </c>
      <c r="B89" s="73"/>
      <c r="C89" s="183">
        <v>44</v>
      </c>
      <c r="D89" s="323">
        <v>6.4256432397956836E-2</v>
      </c>
      <c r="E89" s="323">
        <v>7.0256714601657624E-2</v>
      </c>
      <c r="F89" s="323">
        <v>7.5237888863715546E-2</v>
      </c>
      <c r="G89" s="324">
        <v>218</v>
      </c>
    </row>
    <row r="90" spans="1:7">
      <c r="A90" s="8">
        <v>48</v>
      </c>
      <c r="B90" s="73"/>
      <c r="C90" s="183">
        <v>45</v>
      </c>
      <c r="D90" s="323">
        <v>6.3384215141250311E-2</v>
      </c>
      <c r="E90" s="323">
        <v>6.9548722168907215E-2</v>
      </c>
      <c r="F90" s="323">
        <v>7.5175661565411361E-2</v>
      </c>
      <c r="G90" s="324">
        <v>206</v>
      </c>
    </row>
    <row r="91" spans="1:7">
      <c r="A91" s="8">
        <v>49</v>
      </c>
      <c r="B91" s="73"/>
      <c r="C91" s="183">
        <v>46</v>
      </c>
      <c r="D91" s="323">
        <v>6.2296701080489417E-2</v>
      </c>
      <c r="E91" s="323">
        <v>6.9056352235824237E-2</v>
      </c>
      <c r="F91" s="323">
        <v>7.4619919331163465E-2</v>
      </c>
      <c r="G91" s="324">
        <v>194</v>
      </c>
    </row>
    <row r="92" spans="1:7">
      <c r="A92" s="8">
        <v>50</v>
      </c>
      <c r="B92" s="73"/>
      <c r="C92" s="183">
        <v>47</v>
      </c>
      <c r="D92" s="323">
        <v>6.1610382955836922E-2</v>
      </c>
      <c r="E92" s="323">
        <v>6.8814395228106756E-2</v>
      </c>
      <c r="F92" s="323">
        <v>7.3953539154081899E-2</v>
      </c>
      <c r="G92" s="324">
        <v>182</v>
      </c>
    </row>
    <row r="93" spans="1:7">
      <c r="A93" s="8">
        <v>51</v>
      </c>
      <c r="B93" s="73"/>
      <c r="C93" s="183">
        <v>48</v>
      </c>
      <c r="D93" s="323">
        <v>6.319017543271202E-2</v>
      </c>
      <c r="E93" s="323">
        <v>6.8593797223486005E-2</v>
      </c>
      <c r="F93" s="323">
        <v>7.3322659432184897E-2</v>
      </c>
      <c r="G93" s="324">
        <v>170</v>
      </c>
    </row>
    <row r="94" spans="1:7">
      <c r="A94" s="8">
        <v>52</v>
      </c>
      <c r="B94" s="73"/>
      <c r="C94" s="183">
        <v>49</v>
      </c>
      <c r="D94" s="323">
        <v>6.3690500381869269E-2</v>
      </c>
      <c r="E94" s="323">
        <v>6.8183357513505294E-2</v>
      </c>
      <c r="F94" s="323">
        <v>7.2540754111505484E-2</v>
      </c>
      <c r="G94" s="324">
        <v>158</v>
      </c>
    </row>
    <row r="95" spans="1:7">
      <c r="A95" s="8">
        <v>53</v>
      </c>
      <c r="B95" s="73"/>
      <c r="C95" s="183">
        <v>50</v>
      </c>
      <c r="D95" s="323">
        <v>6.3015229520767491E-2</v>
      </c>
      <c r="E95" s="323">
        <v>6.7752675873666013E-2</v>
      </c>
      <c r="F95" s="323">
        <v>7.180926821675862E-2</v>
      </c>
      <c r="G95" s="324">
        <v>146</v>
      </c>
    </row>
    <row r="96" spans="1:7">
      <c r="A96" s="8">
        <v>54</v>
      </c>
      <c r="B96" s="73"/>
      <c r="C96" s="183">
        <v>51</v>
      </c>
      <c r="D96" s="323">
        <v>6.2555641439965989E-2</v>
      </c>
      <c r="E96" s="323">
        <v>6.7357062791891825E-2</v>
      </c>
      <c r="F96" s="323">
        <v>7.1227569657017209E-2</v>
      </c>
      <c r="G96" s="324">
        <v>134</v>
      </c>
    </row>
    <row r="97" spans="1:7">
      <c r="A97" s="8">
        <v>55</v>
      </c>
      <c r="B97" s="73"/>
      <c r="C97" s="183">
        <v>52</v>
      </c>
      <c r="D97" s="323">
        <v>6.1723809534443147E-2</v>
      </c>
      <c r="E97" s="323">
        <v>6.6994774677754762E-2</v>
      </c>
      <c r="F97" s="323">
        <v>7.0582012373322789E-2</v>
      </c>
      <c r="G97" s="324">
        <v>122</v>
      </c>
    </row>
    <row r="98" spans="1:7">
      <c r="A98" s="8">
        <v>56</v>
      </c>
      <c r="B98" s="73"/>
      <c r="C98" s="183">
        <v>53</v>
      </c>
      <c r="D98" s="323">
        <v>6.0919875424809089E-2</v>
      </c>
      <c r="E98" s="323">
        <v>6.6808312331773881E-2</v>
      </c>
      <c r="F98" s="323">
        <v>7.0018949825619139E-2</v>
      </c>
      <c r="G98" s="324">
        <v>110</v>
      </c>
    </row>
    <row r="99" spans="1:7">
      <c r="A99" s="8">
        <v>57</v>
      </c>
      <c r="B99" s="73"/>
      <c r="C99" s="183">
        <v>54</v>
      </c>
      <c r="D99" s="323">
        <v>6.0562548669864394E-2</v>
      </c>
      <c r="E99" s="323">
        <v>6.6890820348464858E-2</v>
      </c>
      <c r="F99" s="323">
        <v>6.9357202437447224E-2</v>
      </c>
      <c r="G99" s="324">
        <v>98</v>
      </c>
    </row>
    <row r="100" spans="1:7">
      <c r="A100" s="8">
        <v>58</v>
      </c>
      <c r="B100" s="73"/>
      <c r="C100" s="183">
        <v>55</v>
      </c>
      <c r="D100" s="323">
        <v>6.2422463798288495E-2</v>
      </c>
      <c r="E100" s="323">
        <v>6.6970882093384795E-2</v>
      </c>
      <c r="F100" s="323">
        <v>6.8778680325110905E-2</v>
      </c>
      <c r="G100" s="324">
        <v>86</v>
      </c>
    </row>
    <row r="101" spans="1:7">
      <c r="A101" s="8">
        <v>59</v>
      </c>
      <c r="B101" s="73"/>
      <c r="C101" s="183">
        <v>56</v>
      </c>
      <c r="D101" s="323">
        <v>6.380301590545398E-2</v>
      </c>
      <c r="E101" s="323">
        <v>6.6874377095166082E-2</v>
      </c>
      <c r="F101" s="323">
        <v>6.8381200149622248E-2</v>
      </c>
      <c r="G101" s="324">
        <v>74</v>
      </c>
    </row>
    <row r="102" spans="1:7" ht="15.75" thickBot="1">
      <c r="A102" s="10">
        <v>60</v>
      </c>
      <c r="B102" s="176"/>
      <c r="C102" s="183">
        <v>57</v>
      </c>
      <c r="D102" s="323">
        <v>6.4159464189452675E-2</v>
      </c>
      <c r="E102" s="323">
        <v>6.6699765937169364E-2</v>
      </c>
      <c r="F102" s="323">
        <v>6.7767909890470518E-2</v>
      </c>
      <c r="G102" s="324">
        <v>62</v>
      </c>
    </row>
    <row r="103" spans="1:7">
      <c r="C103" s="183">
        <v>58</v>
      </c>
      <c r="D103" s="323">
        <v>6.5307640557062355E-2</v>
      </c>
      <c r="E103" s="323">
        <v>6.644608485169963E-2</v>
      </c>
      <c r="F103" s="323">
        <v>6.7100082178680159E-2</v>
      </c>
      <c r="G103" s="324">
        <v>50</v>
      </c>
    </row>
    <row r="104" spans="1:7">
      <c r="C104" s="183">
        <v>59</v>
      </c>
      <c r="D104" s="323">
        <v>6.5710070773027013E-2</v>
      </c>
      <c r="E104" s="323">
        <v>6.5948654912210941E-2</v>
      </c>
      <c r="F104" s="323">
        <v>6.65881778542112E-2</v>
      </c>
      <c r="G104" s="324">
        <v>38</v>
      </c>
    </row>
    <row r="105" spans="1:7" ht="15.75" thickBot="1">
      <c r="C105" s="183">
        <v>60</v>
      </c>
      <c r="D105" s="323">
        <v>6.4960280963716324E-2</v>
      </c>
      <c r="E105" s="323">
        <v>6.5310603100397699E-2</v>
      </c>
      <c r="F105" s="323">
        <v>6.6028008999371085E-2</v>
      </c>
      <c r="G105" s="324">
        <v>26</v>
      </c>
    </row>
    <row r="106" spans="1:7" ht="15.75" thickBot="1">
      <c r="C106" s="121">
        <f>B54</f>
        <v>12</v>
      </c>
      <c r="D106" s="132">
        <f>VLOOKUP(C106,C57:G105,2,FALSE)</f>
        <v>1.0661566447326017E-2</v>
      </c>
      <c r="E106" s="132">
        <f>VLOOKUP(C106,C57:G105,3,FALSE)</f>
        <v>5.7439106935899882E-2</v>
      </c>
      <c r="F106" s="132">
        <f>VLOOKUP(C106,C57:G105,4,FALSE)</f>
        <v>0.12464875304130613</v>
      </c>
      <c r="G106" s="123">
        <f>VLOOKUP(C106,C57:G105,5,FALSE)</f>
        <v>602</v>
      </c>
    </row>
  </sheetData>
  <mergeCells count="63">
    <mergeCell ref="G52:H52"/>
    <mergeCell ref="A42:H42"/>
    <mergeCell ref="B48:C48"/>
    <mergeCell ref="G48:H48"/>
    <mergeCell ref="G49:H49"/>
    <mergeCell ref="G50:H50"/>
    <mergeCell ref="G51:H51"/>
    <mergeCell ref="D48:E48"/>
    <mergeCell ref="D49:E49"/>
    <mergeCell ref="D50:E50"/>
    <mergeCell ref="D51:E51"/>
    <mergeCell ref="D52:E52"/>
    <mergeCell ref="G44:H44"/>
    <mergeCell ref="G45:H45"/>
    <mergeCell ref="B46:C46"/>
    <mergeCell ref="D46:E46"/>
    <mergeCell ref="D47:E47"/>
    <mergeCell ref="G46:H46"/>
    <mergeCell ref="B47:C47"/>
    <mergeCell ref="G47:H47"/>
    <mergeCell ref="C43:D43"/>
    <mergeCell ref="B44:C44"/>
    <mergeCell ref="B45:C45"/>
    <mergeCell ref="D45:E45"/>
    <mergeCell ref="D44:E44"/>
    <mergeCell ref="E29:F29"/>
    <mergeCell ref="C30:H30"/>
    <mergeCell ref="G31:H31"/>
    <mergeCell ref="G32:H32"/>
    <mergeCell ref="A8:B8"/>
    <mergeCell ref="A12:B12"/>
    <mergeCell ref="C16:F16"/>
    <mergeCell ref="E27:F27"/>
    <mergeCell ref="I1:J1"/>
    <mergeCell ref="X2:AD2"/>
    <mergeCell ref="AE2:AK2"/>
    <mergeCell ref="C18:F18"/>
    <mergeCell ref="J2:P2"/>
    <mergeCell ref="Q2:W2"/>
    <mergeCell ref="M1:R1"/>
    <mergeCell ref="D11:E11"/>
    <mergeCell ref="D12:E12"/>
    <mergeCell ref="D10:F10"/>
    <mergeCell ref="D1:E1"/>
    <mergeCell ref="J5:K5"/>
    <mergeCell ref="L9:P9"/>
    <mergeCell ref="L10:P10"/>
    <mergeCell ref="C55:G55"/>
    <mergeCell ref="AT2:AZ2"/>
    <mergeCell ref="C24:F24"/>
    <mergeCell ref="C26:D26"/>
    <mergeCell ref="E26:F26"/>
    <mergeCell ref="AL2:AS2"/>
    <mergeCell ref="C32:D32"/>
    <mergeCell ref="E32:F32"/>
    <mergeCell ref="C31:D31"/>
    <mergeCell ref="E31:F31"/>
    <mergeCell ref="E25:F25"/>
    <mergeCell ref="C27:D27"/>
    <mergeCell ref="C28:D28"/>
    <mergeCell ref="C29:D29"/>
    <mergeCell ref="C25:D25"/>
    <mergeCell ref="E28:F28"/>
  </mergeCells>
  <conditionalFormatting sqref="C57:G84 D85:G85 C85:C105">
    <cfRule type="cellIs" dxfId="6" priority="1" operator="lessThan">
      <formula>0</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dimension ref="A1:P53"/>
  <sheetViews>
    <sheetView zoomScaleNormal="100" workbookViewId="0">
      <selection activeCell="I31" sqref="I31"/>
    </sheetView>
  </sheetViews>
  <sheetFormatPr baseColWidth="10" defaultColWidth="11.42578125" defaultRowHeight="12.75"/>
  <cols>
    <col min="1" max="16384" width="11.42578125" style="153"/>
  </cols>
  <sheetData>
    <row r="1" spans="1:16" ht="15">
      <c r="A1" s="153" t="s">
        <v>14</v>
      </c>
      <c r="B1" s="154" t="s">
        <v>123</v>
      </c>
      <c r="C1" s="154"/>
      <c r="D1" s="154"/>
      <c r="E1" s="154"/>
      <c r="F1" s="154"/>
      <c r="G1" s="154"/>
      <c r="H1" s="154"/>
      <c r="K1" s="161" t="s">
        <v>122</v>
      </c>
    </row>
    <row r="2" spans="1:16">
      <c r="B2" s="155">
        <v>0.03</v>
      </c>
      <c r="C2" s="155">
        <v>0.04</v>
      </c>
      <c r="D2" s="155">
        <v>0.05</v>
      </c>
      <c r="E2" s="155">
        <v>0.06</v>
      </c>
      <c r="F2" s="155">
        <v>7.0000000000000007E-2</v>
      </c>
      <c r="G2" s="155">
        <v>0.08</v>
      </c>
      <c r="H2" s="155">
        <v>0.09</v>
      </c>
      <c r="J2" s="155">
        <v>0.03</v>
      </c>
      <c r="K2" s="155">
        <v>0.04</v>
      </c>
      <c r="L2" s="155">
        <v>0.05</v>
      </c>
      <c r="M2" s="155">
        <v>0.06</v>
      </c>
      <c r="N2" s="155">
        <v>7.0000000000000007E-2</v>
      </c>
      <c r="O2" s="155">
        <v>0.08</v>
      </c>
      <c r="P2" s="155">
        <v>0.09</v>
      </c>
    </row>
    <row r="3" spans="1:16">
      <c r="A3" s="153">
        <v>12</v>
      </c>
      <c r="B3" s="153">
        <v>14576</v>
      </c>
      <c r="C3" s="153">
        <v>15474</v>
      </c>
      <c r="D3" s="153">
        <v>16436</v>
      </c>
      <c r="E3" s="153">
        <v>17465</v>
      </c>
      <c r="F3" s="153">
        <v>18566</v>
      </c>
      <c r="G3" s="153">
        <v>19747</v>
      </c>
      <c r="H3" s="153">
        <v>21011</v>
      </c>
      <c r="J3" s="160">
        <f>RATE($A$3*12,-100,0,B3)*12</f>
        <v>2.0348515124277338E-3</v>
      </c>
      <c r="K3" s="160">
        <f t="shared" ref="K3:P3" si="0">RATE($A3*12,-100,0,C3)*12</f>
        <v>1.1935326867766235E-2</v>
      </c>
      <c r="L3" s="160">
        <f t="shared" si="0"/>
        <v>2.1739995689374465E-2</v>
      </c>
      <c r="M3" s="160">
        <f t="shared" si="0"/>
        <v>3.1436450249406764E-2</v>
      </c>
      <c r="N3" s="160">
        <f t="shared" si="0"/>
        <v>4.1030724762083401E-2</v>
      </c>
      <c r="O3" s="160">
        <f t="shared" si="0"/>
        <v>5.0548751745432996E-2</v>
      </c>
      <c r="P3" s="160">
        <f t="shared" si="0"/>
        <v>5.9971201930705507E-2</v>
      </c>
    </row>
    <row r="4" spans="1:16">
      <c r="A4" s="153">
        <v>13</v>
      </c>
      <c r="B4" s="153">
        <v>16096</v>
      </c>
      <c r="C4" s="153">
        <v>17176</v>
      </c>
      <c r="D4" s="153">
        <v>18340</v>
      </c>
      <c r="E4" s="153">
        <v>19595</v>
      </c>
      <c r="F4" s="153">
        <v>20948</v>
      </c>
      <c r="G4" s="153">
        <v>22407</v>
      </c>
      <c r="H4" s="153">
        <v>23980</v>
      </c>
      <c r="J4" s="160">
        <f t="shared" ref="J4:J51" si="1">RATE($A4*12,-100,0,B4)*12</f>
        <v>4.8220611409578425E-3</v>
      </c>
      <c r="K4" s="160">
        <f t="shared" ref="K4:K51" si="2">RATE($A4*12,-100,0,C4)*12</f>
        <v>1.4676490207289065E-2</v>
      </c>
      <c r="L4" s="160">
        <f t="shared" ref="L4:L51" si="3">RATE($A4*12,-100,0,D4)*12</f>
        <v>2.4430948531146666E-2</v>
      </c>
      <c r="M4" s="160">
        <f t="shared" ref="M4:M51" si="4">RATE($A4*12,-100,0,E4)*12</f>
        <v>3.4090657622772962E-2</v>
      </c>
      <c r="N4" s="160">
        <f t="shared" ref="N4:N51" si="5">RATE($A4*12,-100,0,F4)*12</f>
        <v>4.3656473460796499E-2</v>
      </c>
      <c r="O4" s="160">
        <f t="shared" ref="O4:O51" si="6">RATE($A4*12,-100,0,G4)*12</f>
        <v>5.3132459312063909E-2</v>
      </c>
      <c r="P4" s="160">
        <f t="shared" ref="P4:P51" si="7">RATE($A4*12,-100,0,H4)*12</f>
        <v>6.2518704896730198E-2</v>
      </c>
    </row>
    <row r="5" spans="1:16">
      <c r="A5" s="153">
        <v>14</v>
      </c>
      <c r="B5" s="153">
        <v>17512</v>
      </c>
      <c r="C5" s="153">
        <v>18785</v>
      </c>
      <c r="D5" s="153">
        <v>20166</v>
      </c>
      <c r="E5" s="153">
        <v>21665</v>
      </c>
      <c r="F5" s="153">
        <v>23293</v>
      </c>
      <c r="G5" s="153">
        <v>25060</v>
      </c>
      <c r="H5" s="153">
        <v>26980</v>
      </c>
      <c r="J5" s="160">
        <f t="shared" si="1"/>
        <v>5.9254248379793026E-3</v>
      </c>
      <c r="K5" s="160">
        <f t="shared" si="2"/>
        <v>1.5768818269418783E-2</v>
      </c>
      <c r="L5" s="160">
        <f t="shared" si="3"/>
        <v>2.5510406769805125E-2</v>
      </c>
      <c r="M5" s="160">
        <f t="shared" si="4"/>
        <v>3.5156815757117481E-2</v>
      </c>
      <c r="N5" s="160">
        <f t="shared" si="5"/>
        <v>4.4714414030636196E-2</v>
      </c>
      <c r="O5" s="160">
        <f t="shared" si="6"/>
        <v>5.4178536926056745E-2</v>
      </c>
      <c r="P5" s="160">
        <f t="shared" si="7"/>
        <v>6.3561005622301034E-2</v>
      </c>
    </row>
    <row r="6" spans="1:16">
      <c r="A6" s="153">
        <v>15</v>
      </c>
      <c r="B6" s="153">
        <v>18967</v>
      </c>
      <c r="C6" s="153">
        <v>20454</v>
      </c>
      <c r="D6" s="153">
        <v>22079</v>
      </c>
      <c r="E6" s="153">
        <v>23854</v>
      </c>
      <c r="F6" s="153">
        <v>25795</v>
      </c>
      <c r="G6" s="153">
        <v>27918</v>
      </c>
      <c r="H6" s="153">
        <v>30238</v>
      </c>
      <c r="J6" s="160">
        <f t="shared" si="1"/>
        <v>6.9573756010718312E-3</v>
      </c>
      <c r="K6" s="160">
        <f t="shared" si="2"/>
        <v>1.6794010302363317E-2</v>
      </c>
      <c r="L6" s="160">
        <f t="shared" si="3"/>
        <v>2.6533641108242717E-2</v>
      </c>
      <c r="M6" s="160">
        <f t="shared" si="4"/>
        <v>3.6172464502513865E-2</v>
      </c>
      <c r="N6" s="160">
        <f t="shared" si="5"/>
        <v>4.5721909248898747E-2</v>
      </c>
      <c r="O6" s="160">
        <f t="shared" si="6"/>
        <v>5.5184551898907919E-2</v>
      </c>
      <c r="P6" s="160">
        <f t="shared" si="7"/>
        <v>6.4553192846001625E-2</v>
      </c>
    </row>
    <row r="7" spans="1:16">
      <c r="A7" s="153">
        <v>16</v>
      </c>
      <c r="B7" s="153">
        <v>20544</v>
      </c>
      <c r="C7" s="153">
        <v>22271</v>
      </c>
      <c r="D7" s="153">
        <v>24168</v>
      </c>
      <c r="E7" s="153">
        <v>26255</v>
      </c>
      <c r="F7" s="153">
        <v>28555</v>
      </c>
      <c r="G7" s="153">
        <v>31086</v>
      </c>
      <c r="H7" s="153">
        <v>33872</v>
      </c>
      <c r="J7" s="160">
        <f t="shared" si="1"/>
        <v>8.4098446675813284E-3</v>
      </c>
      <c r="K7" s="160">
        <f t="shared" si="2"/>
        <v>1.8214144713789522E-2</v>
      </c>
      <c r="L7" s="160">
        <f t="shared" si="3"/>
        <v>2.7908148235215903E-2</v>
      </c>
      <c r="M7" s="160">
        <f t="shared" si="4"/>
        <v>3.7507520928013079E-2</v>
      </c>
      <c r="N7" s="160">
        <f t="shared" si="5"/>
        <v>4.7028022624258432E-2</v>
      </c>
      <c r="O7" s="160">
        <f t="shared" si="6"/>
        <v>5.6455321711177536E-2</v>
      </c>
      <c r="P7" s="160">
        <f t="shared" si="7"/>
        <v>6.5793067969580996E-2</v>
      </c>
    </row>
    <row r="8" spans="1:16">
      <c r="A8" s="153">
        <v>17</v>
      </c>
      <c r="B8" s="153">
        <v>22162</v>
      </c>
      <c r="C8" s="153">
        <v>24150</v>
      </c>
      <c r="D8" s="153">
        <v>26349</v>
      </c>
      <c r="E8" s="153">
        <v>28788</v>
      </c>
      <c r="F8" s="153">
        <v>31489</v>
      </c>
      <c r="G8" s="153">
        <v>34484</v>
      </c>
      <c r="H8" s="153">
        <v>37806</v>
      </c>
      <c r="J8" s="160">
        <f t="shared" si="1"/>
        <v>9.6654223465215232E-3</v>
      </c>
      <c r="K8" s="160">
        <f t="shared" si="2"/>
        <v>1.9430282043978009E-2</v>
      </c>
      <c r="L8" s="160">
        <f t="shared" si="3"/>
        <v>2.9089533985560773E-2</v>
      </c>
      <c r="M8" s="160">
        <f t="shared" si="4"/>
        <v>3.8668012658561804E-2</v>
      </c>
      <c r="N8" s="160">
        <f t="shared" si="5"/>
        <v>4.8149702589493318E-2</v>
      </c>
      <c r="O8" s="160">
        <f t="shared" si="6"/>
        <v>5.7546598076217981E-2</v>
      </c>
      <c r="P8" s="160">
        <f t="shared" si="7"/>
        <v>6.686104128667765E-2</v>
      </c>
    </row>
    <row r="9" spans="1:16">
      <c r="A9" s="153">
        <v>18</v>
      </c>
      <c r="B9" s="153">
        <v>23646</v>
      </c>
      <c r="C9" s="153">
        <v>25904</v>
      </c>
      <c r="D9" s="153">
        <v>28422</v>
      </c>
      <c r="E9" s="153">
        <v>31228</v>
      </c>
      <c r="F9" s="153">
        <v>34360</v>
      </c>
      <c r="G9" s="153">
        <v>37857</v>
      </c>
      <c r="H9" s="153">
        <v>41765</v>
      </c>
      <c r="J9" s="160">
        <f t="shared" si="1"/>
        <v>9.9572813963215885E-3</v>
      </c>
      <c r="K9" s="160">
        <f t="shared" si="2"/>
        <v>1.9715260057323044E-2</v>
      </c>
      <c r="L9" s="160">
        <f t="shared" si="3"/>
        <v>2.9379861042469445E-2</v>
      </c>
      <c r="M9" s="160">
        <f t="shared" si="4"/>
        <v>3.8942809558723299E-2</v>
      </c>
      <c r="N9" s="160">
        <f t="shared" si="5"/>
        <v>4.8418398716283909E-2</v>
      </c>
      <c r="O9" s="160">
        <f t="shared" si="6"/>
        <v>5.7808242434349302E-2</v>
      </c>
      <c r="P9" s="160">
        <f t="shared" si="7"/>
        <v>6.711939001617917E-2</v>
      </c>
    </row>
    <row r="10" spans="1:16">
      <c r="A10" s="153">
        <v>19</v>
      </c>
      <c r="B10" s="153">
        <v>25339</v>
      </c>
      <c r="C10" s="153">
        <v>27906</v>
      </c>
      <c r="D10" s="153">
        <v>30787</v>
      </c>
      <c r="E10" s="153">
        <v>34020</v>
      </c>
      <c r="F10" s="153">
        <v>37657</v>
      </c>
      <c r="G10" s="153">
        <v>41741</v>
      </c>
      <c r="H10" s="153">
        <v>46336</v>
      </c>
      <c r="J10" s="160">
        <f t="shared" si="1"/>
        <v>1.0976735729379765E-2</v>
      </c>
      <c r="K10" s="160">
        <f t="shared" si="2"/>
        <v>2.0703641169560798E-2</v>
      </c>
      <c r="L10" s="160">
        <f t="shared" si="3"/>
        <v>3.0335683167745649E-2</v>
      </c>
      <c r="M10" s="160">
        <f t="shared" si="4"/>
        <v>3.9869162849508595E-2</v>
      </c>
      <c r="N10" s="160">
        <f t="shared" si="5"/>
        <v>4.9324918835261529E-2</v>
      </c>
      <c r="O10" s="160">
        <f t="shared" si="6"/>
        <v>5.8683734094963746E-2</v>
      </c>
      <c r="P10" s="160">
        <f t="shared" si="7"/>
        <v>6.7963124353516979E-2</v>
      </c>
    </row>
    <row r="11" spans="1:16">
      <c r="A11" s="153">
        <v>20</v>
      </c>
      <c r="B11" s="153">
        <v>26881</v>
      </c>
      <c r="C11" s="153">
        <v>29762</v>
      </c>
      <c r="D11" s="153">
        <v>33019</v>
      </c>
      <c r="E11" s="153">
        <v>36703</v>
      </c>
      <c r="F11" s="153">
        <v>40870</v>
      </c>
      <c r="G11" s="153">
        <v>45588</v>
      </c>
      <c r="H11" s="153">
        <v>50934</v>
      </c>
      <c r="J11" s="160">
        <f t="shared" si="1"/>
        <v>1.1180308657015631E-2</v>
      </c>
      <c r="K11" s="160">
        <f t="shared" si="2"/>
        <v>2.0897517703278447E-2</v>
      </c>
      <c r="L11" s="160">
        <f t="shared" si="3"/>
        <v>3.0524539359950358E-2</v>
      </c>
      <c r="M11" s="160">
        <f t="shared" si="4"/>
        <v>4.0061929671763349E-2</v>
      </c>
      <c r="N11" s="160">
        <f t="shared" si="5"/>
        <v>4.9506561384120115E-2</v>
      </c>
      <c r="O11" s="160">
        <f t="shared" si="6"/>
        <v>5.8865380240169768E-2</v>
      </c>
      <c r="P11" s="160">
        <f t="shared" si="7"/>
        <v>6.8143314657081025E-2</v>
      </c>
    </row>
    <row r="12" spans="1:16">
      <c r="A12" s="153">
        <v>21</v>
      </c>
      <c r="B12" s="153">
        <v>28651</v>
      </c>
      <c r="C12" s="153">
        <v>31892</v>
      </c>
      <c r="D12" s="153">
        <v>35582</v>
      </c>
      <c r="E12" s="153">
        <v>39782</v>
      </c>
      <c r="F12" s="153">
        <v>44567</v>
      </c>
      <c r="G12" s="153">
        <v>50022</v>
      </c>
      <c r="H12" s="153">
        <v>56278</v>
      </c>
      <c r="J12" s="160">
        <f t="shared" si="1"/>
        <v>1.2024351299996966E-2</v>
      </c>
      <c r="K12" s="160">
        <f t="shared" si="2"/>
        <v>2.1713206636690532E-2</v>
      </c>
      <c r="L12" s="160">
        <f t="shared" si="3"/>
        <v>3.1316042581969038E-2</v>
      </c>
      <c r="M12" s="160">
        <f t="shared" si="4"/>
        <v>4.0824747513177141E-2</v>
      </c>
      <c r="N12" s="160">
        <f t="shared" si="5"/>
        <v>5.0244397854256564E-2</v>
      </c>
      <c r="O12" s="160">
        <f t="shared" si="6"/>
        <v>5.9577742766747654E-2</v>
      </c>
      <c r="P12" s="160">
        <f t="shared" si="7"/>
        <v>6.8874079183249171E-2</v>
      </c>
    </row>
    <row r="13" spans="1:16">
      <c r="A13" s="153">
        <v>22</v>
      </c>
      <c r="B13" s="153">
        <v>30471</v>
      </c>
      <c r="C13" s="156">
        <v>34104</v>
      </c>
      <c r="D13" s="153">
        <v>38264</v>
      </c>
      <c r="E13" s="153">
        <v>43033</v>
      </c>
      <c r="F13" s="153">
        <v>48505</v>
      </c>
      <c r="G13" s="153">
        <v>54811</v>
      </c>
      <c r="H13" s="153">
        <v>62065</v>
      </c>
      <c r="J13" s="160">
        <f t="shared" si="1"/>
        <v>1.2793118411598662E-2</v>
      </c>
      <c r="K13" s="160">
        <f t="shared" si="2"/>
        <v>2.2461954373188237E-2</v>
      </c>
      <c r="L13" s="160">
        <f t="shared" si="3"/>
        <v>3.2035583724837828E-2</v>
      </c>
      <c r="M13" s="160">
        <f t="shared" si="4"/>
        <v>4.1519235730080387E-2</v>
      </c>
      <c r="N13" s="160">
        <f t="shared" si="5"/>
        <v>5.0916088361570966E-2</v>
      </c>
      <c r="O13" s="160">
        <f t="shared" si="6"/>
        <v>6.02600050203062E-2</v>
      </c>
      <c r="P13" s="160">
        <f t="shared" si="7"/>
        <v>6.9527495792113148E-2</v>
      </c>
    </row>
    <row r="14" spans="1:16">
      <c r="A14" s="153">
        <v>23</v>
      </c>
      <c r="B14" s="153">
        <v>32336</v>
      </c>
      <c r="C14" s="153">
        <v>36389</v>
      </c>
      <c r="D14" s="153">
        <v>41062</v>
      </c>
      <c r="E14" s="153">
        <v>46457</v>
      </c>
      <c r="F14" s="153">
        <v>52702</v>
      </c>
      <c r="G14" s="153">
        <v>59944</v>
      </c>
      <c r="H14" s="153">
        <v>68324</v>
      </c>
      <c r="J14" s="160">
        <f t="shared" si="1"/>
        <v>1.3479691557647862E-2</v>
      </c>
      <c r="K14" s="160">
        <f t="shared" si="2"/>
        <v>2.3124602072304455E-2</v>
      </c>
      <c r="L14" s="160">
        <f t="shared" si="3"/>
        <v>3.2676215288194525E-2</v>
      </c>
      <c r="M14" s="160">
        <f t="shared" si="4"/>
        <v>4.213994311801697E-2</v>
      </c>
      <c r="N14" s="160">
        <f t="shared" si="5"/>
        <v>5.1533038750165724E-2</v>
      </c>
      <c r="O14" s="160">
        <f t="shared" si="6"/>
        <v>6.0863984277659586E-2</v>
      </c>
      <c r="P14" s="160">
        <f t="shared" si="7"/>
        <v>7.0106932993843851E-2</v>
      </c>
    </row>
    <row r="15" spans="1:16">
      <c r="A15" s="153">
        <v>24</v>
      </c>
      <c r="B15" s="153">
        <v>34256</v>
      </c>
      <c r="C15" s="153">
        <v>38761</v>
      </c>
      <c r="D15" s="153">
        <v>43992</v>
      </c>
      <c r="E15" s="153">
        <v>50071</v>
      </c>
      <c r="F15" s="153">
        <v>57183</v>
      </c>
      <c r="G15" s="153">
        <v>65462</v>
      </c>
      <c r="H15" s="153">
        <v>75114</v>
      </c>
      <c r="J15" s="160">
        <f t="shared" si="1"/>
        <v>1.4116766717954742E-2</v>
      </c>
      <c r="K15" s="160">
        <f t="shared" si="2"/>
        <v>2.3737385552543865E-2</v>
      </c>
      <c r="L15" s="160">
        <f t="shared" si="3"/>
        <v>3.3268258397170278E-2</v>
      </c>
      <c r="M15" s="160">
        <f t="shared" si="4"/>
        <v>4.2708831734786949E-2</v>
      </c>
      <c r="N15" s="160">
        <f t="shared" si="5"/>
        <v>5.2111069415084962E-2</v>
      </c>
      <c r="O15" s="160">
        <f t="shared" si="6"/>
        <v>6.1418671767868943E-2</v>
      </c>
      <c r="P15" s="160">
        <f t="shared" si="7"/>
        <v>7.0641780355861342E-2</v>
      </c>
    </row>
    <row r="16" spans="1:16">
      <c r="A16" s="153">
        <v>25</v>
      </c>
      <c r="B16" s="153">
        <v>35954</v>
      </c>
      <c r="C16" s="153">
        <v>40905</v>
      </c>
      <c r="D16" s="153">
        <v>46695</v>
      </c>
      <c r="E16" s="153">
        <v>53493</v>
      </c>
      <c r="F16" s="153">
        <v>61484</v>
      </c>
      <c r="G16" s="153">
        <v>70849</v>
      </c>
      <c r="H16" s="153">
        <v>81849</v>
      </c>
      <c r="J16" s="160">
        <f t="shared" si="1"/>
        <v>1.4124113095265563E-2</v>
      </c>
      <c r="K16" s="160">
        <f t="shared" si="2"/>
        <v>2.3738632460941322E-2</v>
      </c>
      <c r="L16" s="160">
        <f t="shared" si="3"/>
        <v>3.326594198216231E-2</v>
      </c>
      <c r="M16" s="160">
        <f t="shared" si="4"/>
        <v>4.2731127956261494E-2</v>
      </c>
      <c r="N16" s="160">
        <f t="shared" si="5"/>
        <v>5.2132544996777504E-2</v>
      </c>
      <c r="O16" s="160">
        <f t="shared" si="6"/>
        <v>6.1434123262304255E-2</v>
      </c>
      <c r="P16" s="160">
        <f t="shared" si="7"/>
        <v>7.0652545320780524E-2</v>
      </c>
    </row>
    <row r="17" spans="1:16">
      <c r="A17" s="153">
        <v>26</v>
      </c>
      <c r="B17" s="153">
        <v>37959</v>
      </c>
      <c r="C17" s="153">
        <v>43428</v>
      </c>
      <c r="D17" s="153">
        <v>49864</v>
      </c>
      <c r="E17" s="153">
        <v>57501</v>
      </c>
      <c r="F17" s="153">
        <v>66509</v>
      </c>
      <c r="G17" s="153">
        <v>77145</v>
      </c>
      <c r="H17" s="153">
        <v>89729</v>
      </c>
      <c r="J17" s="160">
        <f t="shared" si="1"/>
        <v>1.467428239292785E-2</v>
      </c>
      <c r="K17" s="160">
        <f t="shared" si="2"/>
        <v>2.4270155107041995E-2</v>
      </c>
      <c r="L17" s="160">
        <f t="shared" si="3"/>
        <v>3.377435863973656E-2</v>
      </c>
      <c r="M17" s="160">
        <f t="shared" si="4"/>
        <v>4.3249124825847945E-2</v>
      </c>
      <c r="N17" s="160">
        <f t="shared" si="5"/>
        <v>5.2624153745178634E-2</v>
      </c>
      <c r="O17" s="160">
        <f t="shared" si="6"/>
        <v>6.1903499498695475E-2</v>
      </c>
      <c r="P17" s="160">
        <f t="shared" si="7"/>
        <v>7.1100800486392807E-2</v>
      </c>
    </row>
    <row r="18" spans="1:16">
      <c r="A18" s="153">
        <v>27</v>
      </c>
      <c r="B18" s="153">
        <v>40012</v>
      </c>
      <c r="C18" s="153">
        <v>46035</v>
      </c>
      <c r="D18" s="153">
        <v>53192</v>
      </c>
      <c r="E18" s="153">
        <v>61719</v>
      </c>
      <c r="F18" s="153">
        <v>71848</v>
      </c>
      <c r="G18" s="153">
        <v>83897</v>
      </c>
      <c r="H18" s="153">
        <v>98254</v>
      </c>
      <c r="J18" s="160">
        <f t="shared" si="1"/>
        <v>1.5171076608089109E-2</v>
      </c>
      <c r="K18" s="160">
        <f t="shared" si="2"/>
        <v>2.4749544350129264E-2</v>
      </c>
      <c r="L18" s="160">
        <f t="shared" si="3"/>
        <v>3.4261468951850026E-2</v>
      </c>
      <c r="M18" s="160">
        <f t="shared" si="4"/>
        <v>4.371441603675813E-2</v>
      </c>
      <c r="N18" s="160">
        <f t="shared" si="5"/>
        <v>5.3068153921493721E-2</v>
      </c>
      <c r="O18" s="160">
        <f t="shared" si="6"/>
        <v>6.2329253796914397E-2</v>
      </c>
      <c r="P18" s="160">
        <f t="shared" si="7"/>
        <v>7.1507039369219927E-2</v>
      </c>
    </row>
    <row r="19" spans="1:16">
      <c r="A19" s="153">
        <v>28</v>
      </c>
      <c r="B19" s="153">
        <v>42123</v>
      </c>
      <c r="C19" s="153">
        <v>48740</v>
      </c>
      <c r="D19" s="153">
        <v>56683</v>
      </c>
      <c r="E19" s="153">
        <v>66175</v>
      </c>
      <c r="F19" s="153">
        <v>77534</v>
      </c>
      <c r="G19" s="153">
        <v>91151</v>
      </c>
      <c r="H19" s="153">
        <v>107521</v>
      </c>
      <c r="J19" s="160">
        <f t="shared" si="1"/>
        <v>1.5635603325410904E-2</v>
      </c>
      <c r="K19" s="160">
        <f t="shared" si="2"/>
        <v>2.5198512794246102E-2</v>
      </c>
      <c r="L19" s="160">
        <f t="shared" si="3"/>
        <v>3.4723316677031831E-2</v>
      </c>
      <c r="M19" s="160">
        <f t="shared" si="4"/>
        <v>4.4149559184857759E-2</v>
      </c>
      <c r="N19" s="160">
        <f t="shared" si="5"/>
        <v>5.3480816912527984E-2</v>
      </c>
      <c r="O19" s="160">
        <f t="shared" si="6"/>
        <v>6.2724956972329451E-2</v>
      </c>
      <c r="P19" s="160">
        <f t="shared" si="7"/>
        <v>7.1899186877652899E-2</v>
      </c>
    </row>
    <row r="20" spans="1:16">
      <c r="A20" s="153">
        <v>29</v>
      </c>
      <c r="B20" s="153">
        <v>43956</v>
      </c>
      <c r="C20" s="153">
        <v>51153</v>
      </c>
      <c r="D20" s="153">
        <v>59856</v>
      </c>
      <c r="E20" s="153">
        <v>70316</v>
      </c>
      <c r="F20" s="153">
        <v>82930</v>
      </c>
      <c r="G20" s="153">
        <v>98158</v>
      </c>
      <c r="H20" s="153">
        <v>116660</v>
      </c>
      <c r="J20" s="160">
        <f t="shared" si="1"/>
        <v>1.5578493928987861E-2</v>
      </c>
      <c r="K20" s="160">
        <f t="shared" si="2"/>
        <v>2.5146049552462316E-2</v>
      </c>
      <c r="L20" s="160">
        <f t="shared" si="3"/>
        <v>3.4677452504667659E-2</v>
      </c>
      <c r="M20" s="160">
        <f t="shared" si="4"/>
        <v>4.4096433512243155E-2</v>
      </c>
      <c r="N20" s="160">
        <f t="shared" si="5"/>
        <v>5.3424760411046913E-2</v>
      </c>
      <c r="O20" s="160">
        <f t="shared" si="6"/>
        <v>6.2662936388318199E-2</v>
      </c>
      <c r="P20" s="160">
        <f t="shared" si="7"/>
        <v>7.1857813089802436E-2</v>
      </c>
    </row>
    <row r="21" spans="1:16">
      <c r="A21" s="153">
        <v>30</v>
      </c>
      <c r="B21" s="153">
        <v>46163</v>
      </c>
      <c r="C21" s="153">
        <v>54053</v>
      </c>
      <c r="D21" s="153">
        <v>63628</v>
      </c>
      <c r="E21" s="153">
        <v>75222</v>
      </c>
      <c r="F21" s="153">
        <v>89300</v>
      </c>
      <c r="G21" s="153">
        <v>106457</v>
      </c>
      <c r="H21" s="153">
        <v>127432</v>
      </c>
      <c r="J21" s="160">
        <f t="shared" si="1"/>
        <v>1.5994850242286932E-2</v>
      </c>
      <c r="K21" s="160">
        <f t="shared" si="2"/>
        <v>2.5571246538529407E-2</v>
      </c>
      <c r="L21" s="160">
        <f t="shared" si="3"/>
        <v>3.5078009093762359E-2</v>
      </c>
      <c r="M21" s="160">
        <f t="shared" si="4"/>
        <v>4.4477419222625429E-2</v>
      </c>
      <c r="N21" s="160">
        <f t="shared" si="5"/>
        <v>5.378454202281005E-2</v>
      </c>
      <c r="O21" s="160">
        <f t="shared" si="6"/>
        <v>6.3021024543522097E-2</v>
      </c>
      <c r="P21" s="160">
        <f t="shared" si="7"/>
        <v>7.2201767256849098E-2</v>
      </c>
    </row>
    <row r="22" spans="1:16">
      <c r="A22" s="153">
        <v>31</v>
      </c>
      <c r="B22" s="153">
        <v>48421</v>
      </c>
      <c r="C22" s="153">
        <v>57049</v>
      </c>
      <c r="D22" s="153">
        <v>67562</v>
      </c>
      <c r="E22" s="153">
        <v>80389</v>
      </c>
      <c r="F22" s="153">
        <v>96064</v>
      </c>
      <c r="G22" s="153">
        <v>115369</v>
      </c>
      <c r="H22" s="153">
        <v>139100</v>
      </c>
      <c r="J22" s="160">
        <f t="shared" si="1"/>
        <v>1.6373088347659975E-2</v>
      </c>
      <c r="K22" s="160">
        <f t="shared" si="2"/>
        <v>2.5957364881872343E-2</v>
      </c>
      <c r="L22" s="160">
        <f t="shared" si="3"/>
        <v>3.5442798971780057E-2</v>
      </c>
      <c r="M22" s="160">
        <f t="shared" si="4"/>
        <v>4.482669669123987E-2</v>
      </c>
      <c r="N22" s="160">
        <f t="shared" si="5"/>
        <v>5.4111767978428343E-2</v>
      </c>
      <c r="O22" s="160">
        <f t="shared" si="6"/>
        <v>6.335431211555434E-2</v>
      </c>
      <c r="P22" s="160">
        <f t="shared" si="7"/>
        <v>7.2521245022149558E-2</v>
      </c>
    </row>
    <row r="23" spans="1:16">
      <c r="A23" s="153">
        <v>32</v>
      </c>
      <c r="B23" s="153">
        <v>50751</v>
      </c>
      <c r="C23" s="153">
        <v>60159</v>
      </c>
      <c r="D23" s="153">
        <v>71680</v>
      </c>
      <c r="E23" s="153">
        <v>85840</v>
      </c>
      <c r="F23" s="153">
        <v>103286</v>
      </c>
      <c r="G23" s="153">
        <v>124949</v>
      </c>
      <c r="H23" s="153">
        <v>151722</v>
      </c>
      <c r="J23" s="160">
        <f t="shared" si="1"/>
        <v>1.6740360992159177E-2</v>
      </c>
      <c r="K23" s="160">
        <f t="shared" si="2"/>
        <v>2.6322764481663916E-2</v>
      </c>
      <c r="L23" s="160">
        <f t="shared" si="3"/>
        <v>3.5787223705291617E-2</v>
      </c>
      <c r="M23" s="160">
        <f t="shared" si="4"/>
        <v>4.5153299778636455E-2</v>
      </c>
      <c r="N23" s="160">
        <f t="shared" si="5"/>
        <v>5.4429307484157405E-2</v>
      </c>
      <c r="O23" s="160">
        <f t="shared" si="6"/>
        <v>6.3668881351397852E-2</v>
      </c>
      <c r="P23" s="160">
        <f t="shared" si="7"/>
        <v>7.2813578525565803E-2</v>
      </c>
    </row>
    <row r="24" spans="1:16">
      <c r="A24" s="153">
        <v>33</v>
      </c>
      <c r="B24" s="153">
        <v>53154</v>
      </c>
      <c r="C24" s="153">
        <v>63373</v>
      </c>
      <c r="D24" s="153">
        <v>75976</v>
      </c>
      <c r="E24" s="153">
        <v>91576</v>
      </c>
      <c r="F24" s="153">
        <v>110989</v>
      </c>
      <c r="G24" s="153">
        <v>135209</v>
      </c>
      <c r="H24" s="153">
        <v>165370</v>
      </c>
      <c r="J24" s="160">
        <f t="shared" si="1"/>
        <v>1.7095152820852992E-2</v>
      </c>
      <c r="K24" s="160">
        <f t="shared" si="2"/>
        <v>2.6656919451447943E-2</v>
      </c>
      <c r="L24" s="160">
        <f t="shared" si="3"/>
        <v>3.6103012178224862E-2</v>
      </c>
      <c r="M24" s="160">
        <f t="shared" si="4"/>
        <v>4.5451441224585554E-2</v>
      </c>
      <c r="N24" s="160">
        <f t="shared" si="5"/>
        <v>5.4733397975922742E-2</v>
      </c>
      <c r="O24" s="160">
        <f t="shared" si="6"/>
        <v>6.3953118561782388E-2</v>
      </c>
      <c r="P24" s="160">
        <f t="shared" si="7"/>
        <v>7.3080286084490548E-2</v>
      </c>
    </row>
    <row r="25" spans="1:16">
      <c r="A25" s="153">
        <v>34</v>
      </c>
      <c r="B25" s="153">
        <v>55628</v>
      </c>
      <c r="C25" s="153">
        <v>66709</v>
      </c>
      <c r="D25" s="153">
        <v>80474</v>
      </c>
      <c r="E25" s="153">
        <v>97632</v>
      </c>
      <c r="F25" s="153">
        <v>119198</v>
      </c>
      <c r="G25" s="153">
        <v>146229</v>
      </c>
      <c r="H25" s="153">
        <v>180163</v>
      </c>
      <c r="J25" s="160">
        <f t="shared" si="1"/>
        <v>1.7433538323239177E-2</v>
      </c>
      <c r="K25" s="160">
        <f t="shared" si="2"/>
        <v>2.6974580978876943E-2</v>
      </c>
      <c r="L25" s="160">
        <f t="shared" si="3"/>
        <v>3.6403355317679492E-2</v>
      </c>
      <c r="M25" s="160">
        <f t="shared" si="4"/>
        <v>4.5734175161823903E-2</v>
      </c>
      <c r="N25" s="160">
        <f t="shared" si="5"/>
        <v>5.5021828630876998E-2</v>
      </c>
      <c r="O25" s="160">
        <f t="shared" si="6"/>
        <v>6.4220424769282969E-2</v>
      </c>
      <c r="P25" s="160">
        <f t="shared" si="7"/>
        <v>7.3332895920704855E-2</v>
      </c>
    </row>
    <row r="26" spans="1:16">
      <c r="A26" s="153">
        <v>35</v>
      </c>
      <c r="B26" s="153">
        <v>57707</v>
      </c>
      <c r="C26" s="153">
        <v>69594</v>
      </c>
      <c r="D26" s="153">
        <v>84465</v>
      </c>
      <c r="E26" s="153">
        <v>103166</v>
      </c>
      <c r="F26" s="153">
        <v>126831</v>
      </c>
      <c r="G26" s="153">
        <v>156712</v>
      </c>
      <c r="H26" s="153">
        <v>194511</v>
      </c>
      <c r="J26" s="160">
        <f t="shared" si="1"/>
        <v>1.7335925847239045E-2</v>
      </c>
      <c r="K26" s="160">
        <f t="shared" si="2"/>
        <v>2.6866273551181222E-2</v>
      </c>
      <c r="L26" s="160">
        <f t="shared" si="3"/>
        <v>3.6286182817961553E-2</v>
      </c>
      <c r="M26" s="160">
        <f t="shared" si="4"/>
        <v>4.562275360211844E-2</v>
      </c>
      <c r="N26" s="160">
        <f t="shared" si="5"/>
        <v>5.4909062457611679E-2</v>
      </c>
      <c r="O26" s="160">
        <f t="shared" si="6"/>
        <v>6.4104505162467781E-2</v>
      </c>
      <c r="P26" s="160">
        <f t="shared" si="7"/>
        <v>7.3213799512030636E-2</v>
      </c>
    </row>
    <row r="27" spans="1:16">
      <c r="A27" s="153">
        <v>36</v>
      </c>
      <c r="B27" s="153">
        <v>60286</v>
      </c>
      <c r="C27" s="153">
        <v>73138</v>
      </c>
      <c r="D27" s="153">
        <v>89322</v>
      </c>
      <c r="E27" s="153">
        <v>109870</v>
      </c>
      <c r="F27" s="153">
        <v>136007</v>
      </c>
      <c r="G27" s="153">
        <v>169262</v>
      </c>
      <c r="H27" s="153">
        <v>211694</v>
      </c>
      <c r="J27" s="160">
        <f t="shared" si="1"/>
        <v>1.7639221167609801E-2</v>
      </c>
      <c r="K27" s="160">
        <f t="shared" si="2"/>
        <v>2.7154125368395364E-2</v>
      </c>
      <c r="L27" s="160">
        <f t="shared" si="3"/>
        <v>3.6555321697104605E-2</v>
      </c>
      <c r="M27" s="160">
        <f t="shared" si="4"/>
        <v>4.5894346245486224E-2</v>
      </c>
      <c r="N27" s="160">
        <f t="shared" si="5"/>
        <v>5.5161886504442273E-2</v>
      </c>
      <c r="O27" s="160">
        <f t="shared" si="6"/>
        <v>6.4341406848865551E-2</v>
      </c>
      <c r="P27" s="160">
        <f t="shared" si="7"/>
        <v>7.3444467113133918E-2</v>
      </c>
    </row>
    <row r="28" spans="1:16">
      <c r="A28" s="153">
        <v>37</v>
      </c>
      <c r="B28" s="153">
        <v>62929</v>
      </c>
      <c r="C28" s="153">
        <v>76795</v>
      </c>
      <c r="D28" s="153">
        <v>94386</v>
      </c>
      <c r="E28" s="153">
        <v>116919</v>
      </c>
      <c r="F28" s="153">
        <v>145759</v>
      </c>
      <c r="G28" s="153">
        <v>182705</v>
      </c>
      <c r="H28" s="153">
        <v>230313</v>
      </c>
      <c r="J28" s="160">
        <f t="shared" si="1"/>
        <v>1.7920845955509183E-2</v>
      </c>
      <c r="K28" s="160">
        <f t="shared" si="2"/>
        <v>2.7416328555801773E-2</v>
      </c>
      <c r="L28" s="160">
        <f t="shared" si="3"/>
        <v>3.680298701933532E-2</v>
      </c>
      <c r="M28" s="160">
        <f t="shared" si="4"/>
        <v>4.6141553085465109E-2</v>
      </c>
      <c r="N28" s="160">
        <f t="shared" si="5"/>
        <v>5.5396372164467883E-2</v>
      </c>
      <c r="O28" s="160">
        <f t="shared" si="6"/>
        <v>6.4558209201288574E-2</v>
      </c>
      <c r="P28" s="160">
        <f t="shared" si="7"/>
        <v>7.3663231018602227E-2</v>
      </c>
    </row>
    <row r="29" spans="1:16">
      <c r="A29" s="153">
        <v>38</v>
      </c>
      <c r="B29" s="153">
        <v>65651</v>
      </c>
      <c r="C29" s="153">
        <v>80595</v>
      </c>
      <c r="D29" s="153">
        <v>99691</v>
      </c>
      <c r="E29" s="153">
        <v>124372</v>
      </c>
      <c r="F29" s="153">
        <v>156139</v>
      </c>
      <c r="G29" s="153">
        <v>197141</v>
      </c>
      <c r="H29" s="153">
        <v>250486</v>
      </c>
      <c r="J29" s="160">
        <f t="shared" si="1"/>
        <v>1.8192611208743516E-2</v>
      </c>
      <c r="K29" s="160">
        <f t="shared" si="2"/>
        <v>2.767053041805257E-2</v>
      </c>
      <c r="L29" s="160">
        <f t="shared" si="3"/>
        <v>3.7042332964837811E-2</v>
      </c>
      <c r="M29" s="160">
        <f t="shared" si="4"/>
        <v>4.6380871157017917E-2</v>
      </c>
      <c r="N29" s="160">
        <f t="shared" si="5"/>
        <v>5.5618387064365303E-2</v>
      </c>
      <c r="O29" s="160">
        <f t="shared" si="6"/>
        <v>6.4764293283316399E-2</v>
      </c>
      <c r="P29" s="160">
        <f t="shared" si="7"/>
        <v>7.3870570630482899E-2</v>
      </c>
    </row>
    <row r="30" spans="1:16">
      <c r="A30" s="153">
        <v>39</v>
      </c>
      <c r="B30" s="153">
        <v>67889</v>
      </c>
      <c r="C30" s="153">
        <v>83824</v>
      </c>
      <c r="D30" s="153">
        <v>104363</v>
      </c>
      <c r="E30" s="153">
        <v>131072</v>
      </c>
      <c r="F30" s="153">
        <v>165712</v>
      </c>
      <c r="G30" s="153">
        <v>210822</v>
      </c>
      <c r="H30" s="153">
        <v>269952</v>
      </c>
      <c r="J30" s="160">
        <f t="shared" si="1"/>
        <v>1.8073024513414099E-2</v>
      </c>
      <c r="K30" s="160">
        <f t="shared" si="2"/>
        <v>2.7542751965526718E-2</v>
      </c>
      <c r="L30" s="160">
        <f t="shared" si="3"/>
        <v>3.6920398969451103E-2</v>
      </c>
      <c r="M30" s="160">
        <f t="shared" si="4"/>
        <v>4.6252971041011795E-2</v>
      </c>
      <c r="N30" s="160">
        <f t="shared" si="5"/>
        <v>5.5486333730704052E-2</v>
      </c>
      <c r="O30" s="160">
        <f t="shared" si="6"/>
        <v>6.4638771283124813E-2</v>
      </c>
      <c r="P30" s="160">
        <f t="shared" si="7"/>
        <v>7.3747245898072994E-2</v>
      </c>
    </row>
    <row r="31" spans="1:16">
      <c r="A31" s="153">
        <v>40</v>
      </c>
      <c r="B31" s="153">
        <v>70878</v>
      </c>
      <c r="C31" s="153">
        <v>88063</v>
      </c>
      <c r="D31" s="153">
        <v>110428</v>
      </c>
      <c r="E31" s="153">
        <v>139670</v>
      </c>
      <c r="F31" s="153">
        <v>177864</v>
      </c>
      <c r="G31" s="153">
        <v>228109</v>
      </c>
      <c r="H31" s="153">
        <v>294368</v>
      </c>
      <c r="J31" s="160">
        <f t="shared" si="1"/>
        <v>1.8416627606674021E-2</v>
      </c>
      <c r="K31" s="160">
        <f t="shared" si="2"/>
        <v>2.7875052780176754E-2</v>
      </c>
      <c r="L31" s="160">
        <f t="shared" si="3"/>
        <v>3.726185049624571E-2</v>
      </c>
      <c r="M31" s="160">
        <f t="shared" si="4"/>
        <v>4.6582867180321175E-2</v>
      </c>
      <c r="N31" s="160">
        <f t="shared" si="5"/>
        <v>5.5801245189050566E-2</v>
      </c>
      <c r="O31" s="160">
        <f t="shared" si="6"/>
        <v>6.4959874717678862E-2</v>
      </c>
      <c r="P31" s="160">
        <f t="shared" si="7"/>
        <v>7.4056867715642447E-2</v>
      </c>
    </row>
    <row r="32" spans="1:16">
      <c r="A32" s="153">
        <v>41</v>
      </c>
      <c r="B32" s="153">
        <v>74106</v>
      </c>
      <c r="C32" s="153">
        <v>92683</v>
      </c>
      <c r="D32" s="153">
        <v>117099</v>
      </c>
      <c r="E32" s="153">
        <v>149206</v>
      </c>
      <c r="F32" s="153">
        <v>191477</v>
      </c>
      <c r="G32" s="153">
        <v>247649</v>
      </c>
      <c r="H32" s="153">
        <v>322316</v>
      </c>
      <c r="J32" s="160">
        <f t="shared" si="1"/>
        <v>1.8830027175554091E-2</v>
      </c>
      <c r="K32" s="160">
        <f t="shared" si="2"/>
        <v>2.8285670663005739E-2</v>
      </c>
      <c r="L32" s="160">
        <f t="shared" si="3"/>
        <v>3.7688882691983262E-2</v>
      </c>
      <c r="M32" s="160">
        <f t="shared" si="4"/>
        <v>4.7005375152740156E-2</v>
      </c>
      <c r="N32" s="160">
        <f t="shared" si="5"/>
        <v>5.6220533763652276E-2</v>
      </c>
      <c r="O32" s="160">
        <f t="shared" si="6"/>
        <v>6.5392960909928757E-2</v>
      </c>
      <c r="P32" s="160">
        <f t="shared" si="7"/>
        <v>7.4498663504696153E-2</v>
      </c>
    </row>
    <row r="33" spans="1:16">
      <c r="A33" s="153">
        <v>42</v>
      </c>
      <c r="B33" s="153">
        <v>77429</v>
      </c>
      <c r="C33" s="153">
        <v>97486</v>
      </c>
      <c r="D33" s="153">
        <v>124104</v>
      </c>
      <c r="E33" s="153">
        <v>159314</v>
      </c>
      <c r="F33" s="153">
        <v>206075</v>
      </c>
      <c r="G33" s="153">
        <v>268762</v>
      </c>
      <c r="H33" s="153">
        <v>352849</v>
      </c>
      <c r="J33" s="160">
        <f t="shared" si="1"/>
        <v>1.9216237347739772E-2</v>
      </c>
      <c r="K33" s="160">
        <f t="shared" si="2"/>
        <v>2.8669946385853982E-2</v>
      </c>
      <c r="L33" s="160">
        <f t="shared" si="3"/>
        <v>3.8088601224113422E-2</v>
      </c>
      <c r="M33" s="160">
        <f t="shared" si="4"/>
        <v>4.7400981361534623E-2</v>
      </c>
      <c r="N33" s="160">
        <f t="shared" si="5"/>
        <v>5.6618916434680276E-2</v>
      </c>
      <c r="O33" s="160">
        <f t="shared" si="6"/>
        <v>6.5798958047682765E-2</v>
      </c>
      <c r="P33" s="160">
        <f t="shared" si="7"/>
        <v>7.4917230821344383E-2</v>
      </c>
    </row>
    <row r="34" spans="1:16">
      <c r="A34" s="153">
        <v>43</v>
      </c>
      <c r="B34" s="153">
        <v>80849</v>
      </c>
      <c r="C34" s="153">
        <v>102500</v>
      </c>
      <c r="D34" s="153">
        <v>131459</v>
      </c>
      <c r="E34" s="153">
        <v>170029</v>
      </c>
      <c r="F34" s="153">
        <v>221773</v>
      </c>
      <c r="G34" s="153">
        <v>291576</v>
      </c>
      <c r="H34" s="153">
        <v>386164</v>
      </c>
      <c r="J34" s="160">
        <f t="shared" si="1"/>
        <v>1.9577296270879653E-2</v>
      </c>
      <c r="K34" s="160">
        <f t="shared" si="2"/>
        <v>2.9038064716382775E-2</v>
      </c>
      <c r="L34" s="160">
        <f t="shared" si="3"/>
        <v>3.8463208068339361E-2</v>
      </c>
      <c r="M34" s="160">
        <f t="shared" si="4"/>
        <v>4.7772194532226753E-2</v>
      </c>
      <c r="N34" s="160">
        <f t="shared" si="5"/>
        <v>5.7004512105588948E-2</v>
      </c>
      <c r="O34" s="160">
        <f t="shared" si="6"/>
        <v>6.6180384148597962E-2</v>
      </c>
      <c r="P34" s="160">
        <f t="shared" si="7"/>
        <v>7.5310719539008572E-2</v>
      </c>
    </row>
    <row r="35" spans="1:16">
      <c r="A35" s="153">
        <v>44</v>
      </c>
      <c r="B35" s="153">
        <v>84370</v>
      </c>
      <c r="C35" s="153">
        <v>107743</v>
      </c>
      <c r="D35" s="153">
        <v>139180</v>
      </c>
      <c r="E35" s="153">
        <v>181384</v>
      </c>
      <c r="F35" s="153">
        <v>238575</v>
      </c>
      <c r="G35" s="153">
        <v>316316</v>
      </c>
      <c r="H35" s="153">
        <v>422509</v>
      </c>
      <c r="J35" s="160">
        <f t="shared" si="1"/>
        <v>1.9915984073108531E-2</v>
      </c>
      <c r="K35" s="160">
        <f t="shared" si="2"/>
        <v>2.9393980851823813E-2</v>
      </c>
      <c r="L35" s="160">
        <f t="shared" si="3"/>
        <v>3.8814490546170193E-2</v>
      </c>
      <c r="M35" s="160">
        <f t="shared" si="4"/>
        <v>4.8120441181707725E-2</v>
      </c>
      <c r="N35" s="160">
        <f t="shared" si="5"/>
        <v>5.7366575390667446E-2</v>
      </c>
      <c r="O35" s="160">
        <f t="shared" si="6"/>
        <v>6.6548222966373471E-2</v>
      </c>
      <c r="P35" s="160">
        <f t="shared" si="7"/>
        <v>7.5680836858483869E-2</v>
      </c>
    </row>
    <row r="36" spans="1:16">
      <c r="A36" s="153">
        <v>45</v>
      </c>
      <c r="B36" s="153">
        <v>87995</v>
      </c>
      <c r="C36" s="153">
        <v>113195</v>
      </c>
      <c r="D36" s="153">
        <v>147288</v>
      </c>
      <c r="E36" s="153">
        <v>193422</v>
      </c>
      <c r="F36" s="153">
        <v>256563</v>
      </c>
      <c r="G36" s="153">
        <v>343129</v>
      </c>
      <c r="H36" s="153">
        <v>462167</v>
      </c>
      <c r="J36" s="160">
        <f t="shared" si="1"/>
        <v>2.0234209668958929E-2</v>
      </c>
      <c r="K36" s="160">
        <f t="shared" si="2"/>
        <v>2.9728229834465717E-2</v>
      </c>
      <c r="L36" s="160">
        <f t="shared" si="3"/>
        <v>3.9145104003210071E-2</v>
      </c>
      <c r="M36" s="160">
        <f t="shared" si="4"/>
        <v>4.8448507107770211E-2</v>
      </c>
      <c r="N36" s="160">
        <f t="shared" si="5"/>
        <v>5.7707648913828374E-2</v>
      </c>
      <c r="O36" s="160">
        <f t="shared" si="6"/>
        <v>6.690144754948163E-2</v>
      </c>
      <c r="P36" s="160">
        <f t="shared" si="7"/>
        <v>7.6030024521536343E-2</v>
      </c>
    </row>
    <row r="37" spans="1:16">
      <c r="A37" s="153">
        <v>46</v>
      </c>
      <c r="B37" s="153">
        <v>91727</v>
      </c>
      <c r="C37" s="153">
        <v>118866</v>
      </c>
      <c r="D37" s="153">
        <v>155801</v>
      </c>
      <c r="E37" s="153">
        <v>206225</v>
      </c>
      <c r="F37" s="153">
        <v>275821</v>
      </c>
      <c r="G37" s="153">
        <v>372117</v>
      </c>
      <c r="H37" s="153">
        <v>505439</v>
      </c>
      <c r="J37" s="160">
        <f>RATE($A37*12,-100,0,B37)*12</f>
        <v>2.0533641181880825E-2</v>
      </c>
      <c r="K37" s="160">
        <f t="shared" si="2"/>
        <v>3.0043122051473151E-2</v>
      </c>
      <c r="L37" s="160">
        <f t="shared" si="3"/>
        <v>3.9456425873638692E-2</v>
      </c>
      <c r="M37" s="160">
        <f t="shared" si="4"/>
        <v>4.8764464340094044E-2</v>
      </c>
      <c r="N37" s="160">
        <f t="shared" si="5"/>
        <v>5.8029461092794755E-2</v>
      </c>
      <c r="O37" s="160">
        <f t="shared" si="6"/>
        <v>6.7234868746949367E-2</v>
      </c>
      <c r="P37" s="160">
        <f t="shared" si="7"/>
        <v>7.6359891599090526E-2</v>
      </c>
    </row>
    <row r="38" spans="1:16">
      <c r="A38" s="153">
        <v>47</v>
      </c>
      <c r="B38" s="153">
        <v>95567</v>
      </c>
      <c r="C38" s="153">
        <v>124763</v>
      </c>
      <c r="D38" s="153">
        <v>164739</v>
      </c>
      <c r="E38" s="153">
        <v>219861</v>
      </c>
      <c r="F38" s="153">
        <v>296435</v>
      </c>
      <c r="G38" s="153">
        <v>403453</v>
      </c>
      <c r="H38" s="153">
        <v>552649</v>
      </c>
      <c r="J38" s="160">
        <f t="shared" si="1"/>
        <v>2.081497284813677E-2</v>
      </c>
      <c r="K38" s="160">
        <f t="shared" si="2"/>
        <v>3.0339705266495352E-2</v>
      </c>
      <c r="L38" s="160">
        <f t="shared" si="3"/>
        <v>3.9749964516637148E-2</v>
      </c>
      <c r="M38" s="160">
        <f t="shared" si="4"/>
        <v>4.9071598157656798E-2</v>
      </c>
      <c r="N38" s="160">
        <f t="shared" si="5"/>
        <v>5.8333154162865726E-2</v>
      </c>
      <c r="O38" s="160">
        <f t="shared" si="6"/>
        <v>6.7549794961859255E-2</v>
      </c>
      <c r="P38" s="160">
        <f t="shared" si="7"/>
        <v>7.667167052370312E-2</v>
      </c>
    </row>
    <row r="39" spans="1:16">
      <c r="A39" s="153">
        <v>48</v>
      </c>
      <c r="B39" s="153">
        <v>99522</v>
      </c>
      <c r="C39" s="153">
        <v>130897</v>
      </c>
      <c r="D39" s="153">
        <v>174125</v>
      </c>
      <c r="E39" s="153">
        <v>234325</v>
      </c>
      <c r="F39" s="153">
        <v>318638</v>
      </c>
      <c r="G39" s="153">
        <v>437333</v>
      </c>
      <c r="H39" s="153">
        <v>604164</v>
      </c>
      <c r="J39" s="160">
        <f t="shared" si="1"/>
        <v>2.1081084798231241E-2</v>
      </c>
      <c r="K39" s="160">
        <f t="shared" si="2"/>
        <v>3.0619957472703525E-2</v>
      </c>
      <c r="L39" s="160">
        <f t="shared" si="3"/>
        <v>4.0027452886112425E-2</v>
      </c>
      <c r="M39" s="160">
        <f t="shared" si="4"/>
        <v>4.9362221407153045E-2</v>
      </c>
      <c r="N39" s="160">
        <f t="shared" si="5"/>
        <v>5.8632933391258607E-2</v>
      </c>
      <c r="O39" s="160">
        <f t="shared" si="6"/>
        <v>6.7848050638930665E-2</v>
      </c>
      <c r="P39" s="160">
        <f t="shared" si="7"/>
        <v>7.6967163829104485E-2</v>
      </c>
    </row>
    <row r="40" spans="1:16">
      <c r="A40" s="153">
        <v>49</v>
      </c>
      <c r="B40" s="153">
        <v>103636</v>
      </c>
      <c r="C40" s="153">
        <v>137276</v>
      </c>
      <c r="D40" s="153">
        <v>183980</v>
      </c>
      <c r="E40" s="153">
        <v>249663</v>
      </c>
      <c r="F40" s="153">
        <v>342445</v>
      </c>
      <c r="G40" s="153">
        <v>473959</v>
      </c>
      <c r="H40" s="153">
        <v>660368</v>
      </c>
      <c r="J40" s="160">
        <f t="shared" si="1"/>
        <v>2.1346808695606699E-2</v>
      </c>
      <c r="K40" s="160">
        <f t="shared" si="2"/>
        <v>3.0884757351367621E-2</v>
      </c>
      <c r="L40" s="160">
        <f t="shared" si="3"/>
        <v>4.0289860890271499E-2</v>
      </c>
      <c r="M40" s="160">
        <f t="shared" si="4"/>
        <v>4.9637057526065391E-2</v>
      </c>
      <c r="N40" s="160">
        <f t="shared" si="5"/>
        <v>5.8919148150491485E-2</v>
      </c>
      <c r="O40" s="160">
        <f t="shared" si="6"/>
        <v>6.8130610155189286E-2</v>
      </c>
      <c r="P40" s="160">
        <f t="shared" si="7"/>
        <v>7.7247221953744699E-2</v>
      </c>
    </row>
    <row r="41" spans="1:16">
      <c r="A41" s="153">
        <v>50</v>
      </c>
      <c r="B41" s="153">
        <v>107881</v>
      </c>
      <c r="C41" s="153">
        <v>143903</v>
      </c>
      <c r="D41" s="153">
        <v>194326</v>
      </c>
      <c r="E41" s="153">
        <v>265927</v>
      </c>
      <c r="F41" s="153">
        <v>367940</v>
      </c>
      <c r="G41" s="153">
        <v>513549</v>
      </c>
      <c r="H41" s="153">
        <v>721686</v>
      </c>
      <c r="J41" s="160">
        <f t="shared" si="1"/>
        <v>2.1600629917955694E-2</v>
      </c>
      <c r="K41" s="160">
        <f t="shared" si="2"/>
        <v>3.1133764010070113E-2</v>
      </c>
      <c r="L41" s="160">
        <f t="shared" si="3"/>
        <v>4.053809873548446E-2</v>
      </c>
      <c r="M41" s="160">
        <f t="shared" si="4"/>
        <v>4.9897211327423245E-2</v>
      </c>
      <c r="N41" s="160">
        <f t="shared" si="5"/>
        <v>5.9190197828102871E-2</v>
      </c>
      <c r="O41" s="160">
        <f t="shared" si="6"/>
        <v>6.8398397695009633E-2</v>
      </c>
      <c r="P41" s="160">
        <f t="shared" si="7"/>
        <v>7.7512925433456781E-2</v>
      </c>
    </row>
    <row r="42" spans="1:16">
      <c r="A42" s="153">
        <v>51</v>
      </c>
      <c r="B42" s="153">
        <v>112254</v>
      </c>
      <c r="C42" s="153">
        <v>150801</v>
      </c>
      <c r="D42" s="153">
        <v>205233</v>
      </c>
      <c r="E42" s="153">
        <v>283178</v>
      </c>
      <c r="F42" s="153">
        <v>395250</v>
      </c>
      <c r="G42" s="153">
        <v>556354</v>
      </c>
      <c r="H42" s="153">
        <v>788597</v>
      </c>
      <c r="J42" s="160">
        <f t="shared" si="1"/>
        <v>2.1841176656835819E-2</v>
      </c>
      <c r="K42" s="160">
        <f t="shared" si="2"/>
        <v>3.1371020944483172E-2</v>
      </c>
      <c r="L42" s="160">
        <f t="shared" si="3"/>
        <v>4.0779831165902641E-2</v>
      </c>
      <c r="M42" s="160">
        <f t="shared" si="4"/>
        <v>5.0144287820346731E-2</v>
      </c>
      <c r="N42" s="160">
        <f t="shared" si="5"/>
        <v>5.944771768821161E-2</v>
      </c>
      <c r="O42" s="160">
        <f t="shared" si="6"/>
        <v>6.8653037049453469E-2</v>
      </c>
      <c r="P42" s="160">
        <f t="shared" si="7"/>
        <v>7.7765770228741746E-2</v>
      </c>
    </row>
    <row r="43" spans="1:16">
      <c r="A43" s="153">
        <v>52</v>
      </c>
      <c r="B43" s="153">
        <v>116757</v>
      </c>
      <c r="C43" s="153">
        <v>157974</v>
      </c>
      <c r="D43" s="153">
        <v>216750</v>
      </c>
      <c r="E43" s="153">
        <v>301472</v>
      </c>
      <c r="F43" s="153">
        <v>424499</v>
      </c>
      <c r="G43" s="153">
        <v>602627</v>
      </c>
      <c r="H43" s="153">
        <v>861599</v>
      </c>
      <c r="J43" s="160">
        <f t="shared" si="1"/>
        <v>2.2068891761630537E-2</v>
      </c>
      <c r="K43" s="160">
        <f t="shared" si="2"/>
        <v>3.1595933385409662E-2</v>
      </c>
      <c r="L43" s="160">
        <f t="shared" si="3"/>
        <v>4.1017634967319444E-2</v>
      </c>
      <c r="M43" s="160">
        <f t="shared" si="4"/>
        <v>5.037884673298279E-2</v>
      </c>
      <c r="N43" s="160">
        <f t="shared" si="5"/>
        <v>5.9692328219528086E-2</v>
      </c>
      <c r="O43" s="160">
        <f t="shared" si="6"/>
        <v>6.8895091895936747E-2</v>
      </c>
      <c r="P43" s="160">
        <f t="shared" si="7"/>
        <v>7.8006282607386498E-2</v>
      </c>
    </row>
    <row r="44" spans="1:16">
      <c r="A44" s="153">
        <v>53</v>
      </c>
      <c r="B44" s="153">
        <v>121396</v>
      </c>
      <c r="C44" s="153">
        <v>165435</v>
      </c>
      <c r="D44" s="153">
        <v>228849</v>
      </c>
      <c r="E44" s="153">
        <v>321034</v>
      </c>
      <c r="F44" s="153">
        <v>455829</v>
      </c>
      <c r="G44" s="153">
        <v>652655</v>
      </c>
      <c r="H44" s="153">
        <v>941255</v>
      </c>
      <c r="J44" s="160">
        <f t="shared" si="1"/>
        <v>2.2285271449096027E-2</v>
      </c>
      <c r="K44" s="160">
        <f t="shared" si="2"/>
        <v>3.1809755844124238E-2</v>
      </c>
      <c r="L44" s="160">
        <f t="shared" si="3"/>
        <v>4.1243610469465258E-2</v>
      </c>
      <c r="M44" s="160">
        <f t="shared" si="4"/>
        <v>5.0615441990974064E-2</v>
      </c>
      <c r="N44" s="160">
        <f t="shared" si="5"/>
        <v>5.9925188562909626E-2</v>
      </c>
      <c r="O44" s="160">
        <f t="shared" si="6"/>
        <v>6.9125677720201784E-2</v>
      </c>
      <c r="P44" s="160">
        <f t="shared" si="7"/>
        <v>7.8235544773858745E-2</v>
      </c>
    </row>
    <row r="45" spans="1:16">
      <c r="A45" s="153">
        <v>54</v>
      </c>
      <c r="B45" s="153">
        <v>126172</v>
      </c>
      <c r="C45" s="153">
        <v>173193</v>
      </c>
      <c r="D45" s="153">
        <v>241558</v>
      </c>
      <c r="E45" s="153">
        <v>341788</v>
      </c>
      <c r="F45" s="153">
        <v>489381</v>
      </c>
      <c r="G45" s="153">
        <v>706733</v>
      </c>
      <c r="H45" s="153">
        <v>1028160</v>
      </c>
      <c r="J45" s="160">
        <f t="shared" si="1"/>
        <v>2.2490334670052202E-2</v>
      </c>
      <c r="K45" s="160">
        <f t="shared" si="2"/>
        <v>3.2012816604177319E-2</v>
      </c>
      <c r="L45" s="160">
        <f t="shared" si="3"/>
        <v>4.1458415100186358E-2</v>
      </c>
      <c r="M45" s="160">
        <f t="shared" si="4"/>
        <v>5.0840426915612108E-2</v>
      </c>
      <c r="N45" s="160">
        <f t="shared" si="5"/>
        <v>6.0146726400649414E-2</v>
      </c>
      <c r="O45" s="160">
        <f t="shared" si="6"/>
        <v>6.9345225218609807E-2</v>
      </c>
      <c r="P45" s="160">
        <f t="shared" si="7"/>
        <v>7.8454037615167616E-2</v>
      </c>
    </row>
    <row r="46" spans="1:16">
      <c r="A46" s="153">
        <v>55</v>
      </c>
      <c r="B46" s="153">
        <v>131091</v>
      </c>
      <c r="C46" s="153">
        <v>181260</v>
      </c>
      <c r="D46" s="153">
        <v>254897</v>
      </c>
      <c r="E46" s="153">
        <v>363806</v>
      </c>
      <c r="F46" s="153">
        <v>525292</v>
      </c>
      <c r="G46" s="153">
        <v>765188</v>
      </c>
      <c r="H46" s="153">
        <v>1122968</v>
      </c>
      <c r="J46" s="160">
        <f t="shared" si="1"/>
        <v>2.2685340780791249E-2</v>
      </c>
      <c r="K46" s="160">
        <f t="shared" si="2"/>
        <v>3.2205891469675868E-2</v>
      </c>
      <c r="L46" s="160">
        <f t="shared" si="3"/>
        <v>4.1661676902671002E-2</v>
      </c>
      <c r="M46" s="160">
        <f t="shared" si="4"/>
        <v>5.1054555058404505E-2</v>
      </c>
      <c r="N46" s="160">
        <f t="shared" si="5"/>
        <v>6.0356745622440831E-2</v>
      </c>
      <c r="O46" s="160">
        <f t="shared" si="6"/>
        <v>6.9554460622231973E-2</v>
      </c>
      <c r="P46" s="160">
        <f t="shared" si="7"/>
        <v>7.8662369090014519E-2</v>
      </c>
    </row>
    <row r="47" spans="1:16">
      <c r="A47" s="153">
        <v>56</v>
      </c>
      <c r="B47" s="153">
        <v>136158</v>
      </c>
      <c r="C47" s="153">
        <v>189650</v>
      </c>
      <c r="D47" s="153">
        <v>268922</v>
      </c>
      <c r="E47" s="153">
        <v>387172</v>
      </c>
      <c r="F47" s="153">
        <v>563783</v>
      </c>
      <c r="G47" s="153">
        <v>828394</v>
      </c>
      <c r="H47" s="153">
        <v>1226430</v>
      </c>
      <c r="J47" s="160">
        <f t="shared" si="1"/>
        <v>2.2871127662183841E-2</v>
      </c>
      <c r="K47" s="160">
        <f t="shared" si="2"/>
        <v>3.2389908258864904E-2</v>
      </c>
      <c r="L47" s="160">
        <f t="shared" si="3"/>
        <v>4.1856676872722307E-2</v>
      </c>
      <c r="M47" s="160">
        <f t="shared" si="4"/>
        <v>5.1259019034907455E-2</v>
      </c>
      <c r="N47" s="160">
        <f t="shared" si="5"/>
        <v>6.0558468915241109E-2</v>
      </c>
      <c r="O47" s="160">
        <f t="shared" si="6"/>
        <v>6.9754636512216223E-2</v>
      </c>
      <c r="P47" s="160">
        <f t="shared" si="7"/>
        <v>7.8861824923048607E-2</v>
      </c>
    </row>
    <row r="48" spans="1:16">
      <c r="A48" s="153">
        <v>57</v>
      </c>
      <c r="B48" s="153">
        <v>141377</v>
      </c>
      <c r="C48" s="153">
        <v>198376</v>
      </c>
      <c r="D48" s="153">
        <v>283656</v>
      </c>
      <c r="E48" s="153">
        <v>411966</v>
      </c>
      <c r="F48" s="153">
        <v>605009</v>
      </c>
      <c r="G48" s="153">
        <v>896724</v>
      </c>
      <c r="H48" s="153">
        <v>1339315</v>
      </c>
      <c r="J48" s="160">
        <f t="shared" si="1"/>
        <v>2.3048207225419053E-2</v>
      </c>
      <c r="K48" s="160">
        <f t="shared" si="2"/>
        <v>3.2565467147441809E-2</v>
      </c>
      <c r="L48" s="160">
        <f t="shared" si="3"/>
        <v>4.204276230936857E-2</v>
      </c>
      <c r="M48" s="160">
        <f t="shared" si="4"/>
        <v>5.1454279550895467E-2</v>
      </c>
      <c r="N48" s="160">
        <f t="shared" si="5"/>
        <v>6.0751147281583692E-2</v>
      </c>
      <c r="O48" s="160">
        <f t="shared" si="6"/>
        <v>6.9945968303325251E-2</v>
      </c>
      <c r="P48" s="160">
        <f t="shared" si="7"/>
        <v>7.9052588029267373E-2</v>
      </c>
    </row>
    <row r="49" spans="1:16">
      <c r="A49" s="153">
        <v>58</v>
      </c>
      <c r="B49" s="153">
        <v>146751</v>
      </c>
      <c r="C49" s="153">
        <v>207526</v>
      </c>
      <c r="D49" s="153">
        <v>299131</v>
      </c>
      <c r="E49" s="153">
        <v>438269</v>
      </c>
      <c r="F49" s="153">
        <v>649162</v>
      </c>
      <c r="G49" s="153">
        <v>970590</v>
      </c>
      <c r="H49" s="153">
        <v>1462477</v>
      </c>
      <c r="J49" s="160">
        <f t="shared" si="1"/>
        <v>2.321684293059021E-2</v>
      </c>
      <c r="K49" s="160">
        <f t="shared" si="2"/>
        <v>3.2742685851396711E-2</v>
      </c>
      <c r="L49" s="160">
        <f t="shared" si="3"/>
        <v>4.2220178475121259E-2</v>
      </c>
      <c r="M49" s="160">
        <f t="shared" si="4"/>
        <v>5.1640573899444445E-2</v>
      </c>
      <c r="N49" s="160">
        <f t="shared" si="5"/>
        <v>6.0935271798257085E-2</v>
      </c>
      <c r="O49" s="160">
        <f t="shared" si="6"/>
        <v>7.0128935010281002E-2</v>
      </c>
      <c r="P49" s="160">
        <f t="shared" si="7"/>
        <v>7.923513970445685E-2</v>
      </c>
    </row>
    <row r="50" spans="1:16">
      <c r="A50" s="153">
        <v>59</v>
      </c>
      <c r="B50" s="153">
        <v>152285</v>
      </c>
      <c r="C50" s="153">
        <v>217073</v>
      </c>
      <c r="D50" s="153">
        <v>315532</v>
      </c>
      <c r="E50" s="153">
        <v>466179</v>
      </c>
      <c r="F50" s="153">
        <v>696451</v>
      </c>
      <c r="G50" s="153">
        <v>1050442</v>
      </c>
      <c r="H50" s="153">
        <v>1596854</v>
      </c>
      <c r="J50" s="160">
        <f t="shared" si="1"/>
        <v>2.3377660400842683E-2</v>
      </c>
      <c r="K50" s="160">
        <f t="shared" si="2"/>
        <v>3.2915287393988038E-2</v>
      </c>
      <c r="L50" s="160">
        <f t="shared" si="3"/>
        <v>4.2401057646696612E-2</v>
      </c>
      <c r="M50" s="160">
        <f t="shared" si="4"/>
        <v>5.1818794083804187E-2</v>
      </c>
      <c r="N50" s="160">
        <f t="shared" si="5"/>
        <v>6.1111420725704142E-2</v>
      </c>
      <c r="O50" s="160">
        <f t="shared" si="6"/>
        <v>7.0304091669462235E-2</v>
      </c>
      <c r="P50" s="160">
        <f t="shared" si="7"/>
        <v>7.9410022257757465E-2</v>
      </c>
    </row>
    <row r="51" spans="1:16" ht="13.5" thickBot="1">
      <c r="A51" s="153">
        <v>60</v>
      </c>
      <c r="B51" s="153">
        <v>157983</v>
      </c>
      <c r="C51" s="153">
        <v>227004</v>
      </c>
      <c r="D51" s="153">
        <v>332780</v>
      </c>
      <c r="E51" s="153">
        <v>495786</v>
      </c>
      <c r="F51" s="153">
        <v>747093</v>
      </c>
      <c r="G51" s="153">
        <v>1136749</v>
      </c>
      <c r="H51" s="153">
        <v>1743445</v>
      </c>
      <c r="J51" s="160">
        <f t="shared" si="1"/>
        <v>2.3531027569654805E-2</v>
      </c>
      <c r="K51" s="160">
        <f t="shared" si="2"/>
        <v>3.3079990535057405E-2</v>
      </c>
      <c r="L51" s="160">
        <f t="shared" si="3"/>
        <v>4.2574837817242396E-2</v>
      </c>
      <c r="M51" s="160">
        <f t="shared" si="4"/>
        <v>5.1989051984498255E-2</v>
      </c>
      <c r="N51" s="160">
        <f t="shared" si="5"/>
        <v>6.1279914352359112E-2</v>
      </c>
      <c r="O51" s="160">
        <f t="shared" si="6"/>
        <v>7.047161056239773E-2</v>
      </c>
      <c r="P51" s="160">
        <f t="shared" si="7"/>
        <v>7.9577432536021703E-2</v>
      </c>
    </row>
    <row r="52" spans="1:16">
      <c r="I52" s="162" t="s">
        <v>0</v>
      </c>
    </row>
    <row r="53" spans="1:16" ht="13.5" thickBot="1">
      <c r="I53" s="163">
        <f>SUM(J53:P53)</f>
        <v>3.1436450249406764E-2</v>
      </c>
      <c r="J53" s="160">
        <f>IF(Hilfe!$E$3='FSX (Einzel)'!J2,VLOOKUP(Hilfe!$B$54,$A$3:$P$51,10),0)</f>
        <v>0</v>
      </c>
      <c r="K53" s="160">
        <f>IF(Hilfe!$E$3='FSX (Einzel)'!K2,VLOOKUP(Hilfe!$B$54,$A$3:$P$51,11),0)</f>
        <v>0</v>
      </c>
      <c r="L53" s="160">
        <f>IF(Hilfe!$E$3='FSX (Einzel)'!L2,VLOOKUP(Hilfe!$B$54,$A$3:$P$51,12),0)</f>
        <v>0</v>
      </c>
      <c r="M53" s="160">
        <f>IF(Hilfe!$E$3='FSX (Einzel)'!M2,VLOOKUP(Hilfe!$B$54,$A$3:$P$51,13),0)</f>
        <v>3.1436450249406764E-2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1:P53"/>
  <sheetViews>
    <sheetView topLeftCell="A25"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124</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0">
        <v>15293</v>
      </c>
      <c r="C3" s="150">
        <v>16239</v>
      </c>
      <c r="D3" s="150">
        <v>17254</v>
      </c>
      <c r="E3" s="150">
        <v>18339</v>
      </c>
      <c r="F3" s="150">
        <v>19502</v>
      </c>
      <c r="G3" s="150">
        <v>20748</v>
      </c>
      <c r="H3" s="150">
        <v>22084</v>
      </c>
      <c r="J3" s="160">
        <f>RATE($A$3*12,-100,0,B3)*12</f>
        <v>1.0001495168021927E-2</v>
      </c>
      <c r="K3" s="160">
        <f t="shared" ref="K3:P3" si="0">RATE($A3*12,-100,0,C3)*12</f>
        <v>1.9793957073405474E-2</v>
      </c>
      <c r="L3" s="160">
        <f t="shared" si="0"/>
        <v>2.9509154284090684E-2</v>
      </c>
      <c r="M3" s="160">
        <f t="shared" si="0"/>
        <v>3.9113064282513266E-2</v>
      </c>
      <c r="N3" s="160">
        <f t="shared" si="0"/>
        <v>4.8634459814358051E-2</v>
      </c>
      <c r="O3" s="160">
        <f t="shared" si="0"/>
        <v>5.8070285270589717E-2</v>
      </c>
      <c r="P3" s="160">
        <f t="shared" si="0"/>
        <v>6.7429704244635957E-2</v>
      </c>
    </row>
    <row r="4" spans="1:16">
      <c r="A4" s="150">
        <v>13</v>
      </c>
      <c r="B4" s="150">
        <v>16886</v>
      </c>
      <c r="C4" s="150">
        <v>18024</v>
      </c>
      <c r="D4" s="150">
        <v>19252</v>
      </c>
      <c r="E4" s="150">
        <v>20577</v>
      </c>
      <c r="F4" s="150">
        <v>22005</v>
      </c>
      <c r="G4" s="150">
        <v>23545</v>
      </c>
      <c r="H4" s="150">
        <v>25206</v>
      </c>
      <c r="J4" s="160">
        <f t="shared" ref="J4:P40" si="1">RATE($A4*12,-100,0,B4)*12</f>
        <v>1.2111752268011032E-2</v>
      </c>
      <c r="K4" s="160">
        <f t="shared" si="1"/>
        <v>2.1863870741003925E-2</v>
      </c>
      <c r="L4" s="160">
        <f t="shared" si="1"/>
        <v>3.1531132075607413E-2</v>
      </c>
      <c r="M4" s="160">
        <f t="shared" si="1"/>
        <v>4.1113308140900293E-2</v>
      </c>
      <c r="N4" s="160">
        <f t="shared" si="1"/>
        <v>5.0600766567813066E-2</v>
      </c>
      <c r="O4" s="160">
        <f t="shared" si="1"/>
        <v>6.0001564077043504E-2</v>
      </c>
      <c r="P4" s="160">
        <f t="shared" si="1"/>
        <v>6.931862725816923E-2</v>
      </c>
    </row>
    <row r="5" spans="1:16">
      <c r="A5" s="150">
        <v>14</v>
      </c>
      <c r="B5" s="150">
        <v>18377</v>
      </c>
      <c r="C5" s="150">
        <v>19719</v>
      </c>
      <c r="D5" s="150">
        <v>21177</v>
      </c>
      <c r="E5" s="150">
        <v>22762</v>
      </c>
      <c r="F5" s="150">
        <v>24482</v>
      </c>
      <c r="G5" s="150">
        <v>26348</v>
      </c>
      <c r="H5" s="150">
        <v>28375</v>
      </c>
      <c r="J5" s="160">
        <f t="shared" si="1"/>
        <v>1.2711382512206985E-2</v>
      </c>
      <c r="K5" s="160">
        <f t="shared" si="1"/>
        <v>2.2454144044832553E-2</v>
      </c>
      <c r="L5" s="160">
        <f t="shared" si="1"/>
        <v>3.2112639683074311E-2</v>
      </c>
      <c r="M5" s="160">
        <f t="shared" si="1"/>
        <v>4.1692466085825115E-2</v>
      </c>
      <c r="N5" s="160">
        <f t="shared" si="1"/>
        <v>5.1177291500292481E-2</v>
      </c>
      <c r="O5" s="160">
        <f t="shared" si="1"/>
        <v>6.0566633239743248E-2</v>
      </c>
      <c r="P5" s="160">
        <f t="shared" si="1"/>
        <v>6.9874289324925246E-2</v>
      </c>
    </row>
    <row r="6" spans="1:16">
      <c r="A6" s="150">
        <v>15</v>
      </c>
      <c r="B6" s="150">
        <v>19909</v>
      </c>
      <c r="C6" s="150">
        <v>21479</v>
      </c>
      <c r="D6" s="150">
        <v>23195</v>
      </c>
      <c r="E6" s="150">
        <v>25071</v>
      </c>
      <c r="F6" s="150">
        <v>27123</v>
      </c>
      <c r="G6" s="150">
        <v>29366</v>
      </c>
      <c r="H6" s="150">
        <v>31824</v>
      </c>
      <c r="J6" s="160">
        <f t="shared" si="1"/>
        <v>1.3300431488821027E-2</v>
      </c>
      <c r="K6" s="160">
        <f t="shared" si="1"/>
        <v>2.3048469389064311E-2</v>
      </c>
      <c r="L6" s="160">
        <f t="shared" si="1"/>
        <v>3.2703983447801691E-2</v>
      </c>
      <c r="M6" s="160">
        <f t="shared" si="1"/>
        <v>4.2269287178373777E-2</v>
      </c>
      <c r="N6" s="160">
        <f t="shared" si="1"/>
        <v>5.1749644899650477E-2</v>
      </c>
      <c r="O6" s="160">
        <f t="shared" si="1"/>
        <v>6.1139425992957325E-2</v>
      </c>
      <c r="P6" s="160">
        <f t="shared" si="1"/>
        <v>7.0462578936336728E-2</v>
      </c>
    </row>
    <row r="7" spans="1:16">
      <c r="A7" s="150">
        <v>16</v>
      </c>
      <c r="B7" s="150">
        <v>21567</v>
      </c>
      <c r="C7" s="150">
        <v>23389</v>
      </c>
      <c r="D7" s="150">
        <v>25395</v>
      </c>
      <c r="E7" s="150">
        <v>27603</v>
      </c>
      <c r="F7" s="150">
        <v>30034</v>
      </c>
      <c r="G7" s="150">
        <v>32713</v>
      </c>
      <c r="H7" s="150">
        <v>35662</v>
      </c>
      <c r="J7" s="160">
        <f t="shared" si="1"/>
        <v>1.434120112652907E-2</v>
      </c>
      <c r="K7" s="160">
        <f t="shared" si="1"/>
        <v>2.4049954900991731E-2</v>
      </c>
      <c r="L7" s="160">
        <f t="shared" si="1"/>
        <v>3.3673562942943221E-2</v>
      </c>
      <c r="M7" s="160">
        <f t="shared" si="1"/>
        <v>4.3208489965932781E-2</v>
      </c>
      <c r="N7" s="160">
        <f t="shared" si="1"/>
        <v>5.2657006200615343E-2</v>
      </c>
      <c r="O7" s="160">
        <f t="shared" si="1"/>
        <v>6.2027461346124593E-2</v>
      </c>
      <c r="P7" s="160">
        <f t="shared" si="1"/>
        <v>7.1309665383940873E-2</v>
      </c>
    </row>
    <row r="8" spans="1:16">
      <c r="A8" s="150">
        <v>17</v>
      </c>
      <c r="B8" s="150">
        <v>23267</v>
      </c>
      <c r="C8" s="150">
        <v>25367</v>
      </c>
      <c r="D8" s="150">
        <v>27695</v>
      </c>
      <c r="E8" s="150">
        <v>30274</v>
      </c>
      <c r="F8" s="150">
        <v>33131</v>
      </c>
      <c r="G8" s="150">
        <v>36303</v>
      </c>
      <c r="H8" s="150">
        <v>39822</v>
      </c>
      <c r="J8" s="160">
        <f t="shared" si="1"/>
        <v>1.52271033750369E-2</v>
      </c>
      <c r="K8" s="160">
        <f t="shared" si="1"/>
        <v>2.4908928106078667E-2</v>
      </c>
      <c r="L8" s="160">
        <f t="shared" si="1"/>
        <v>3.4507847747485519E-2</v>
      </c>
      <c r="M8" s="160">
        <f t="shared" si="1"/>
        <v>4.4015665070567069E-2</v>
      </c>
      <c r="N8" s="160">
        <f t="shared" si="1"/>
        <v>5.3431782287029876E-2</v>
      </c>
      <c r="O8" s="160">
        <f t="shared" si="1"/>
        <v>6.2776113883769954E-2</v>
      </c>
      <c r="P8" s="160">
        <f t="shared" si="1"/>
        <v>7.2040324998257549E-2</v>
      </c>
    </row>
    <row r="9" spans="1:16">
      <c r="A9" s="150">
        <v>18</v>
      </c>
      <c r="B9" s="150">
        <v>25016</v>
      </c>
      <c r="C9" s="150">
        <v>27421</v>
      </c>
      <c r="D9" s="150">
        <v>30102</v>
      </c>
      <c r="E9" s="150">
        <v>33095</v>
      </c>
      <c r="F9" s="150">
        <v>36436</v>
      </c>
      <c r="G9" s="150">
        <v>40167</v>
      </c>
      <c r="H9" s="150">
        <v>44333</v>
      </c>
      <c r="J9" s="160">
        <f t="shared" si="1"/>
        <v>1.6014449893390206E-2</v>
      </c>
      <c r="K9" s="160">
        <f t="shared" si="1"/>
        <v>2.5674165328171905E-2</v>
      </c>
      <c r="L9" s="160">
        <f t="shared" si="1"/>
        <v>3.5240929994913704E-2</v>
      </c>
      <c r="M9" s="160">
        <f t="shared" si="1"/>
        <v>4.4726189090221254E-2</v>
      </c>
      <c r="N9" s="160">
        <f t="shared" si="1"/>
        <v>5.4126920095135728E-2</v>
      </c>
      <c r="O9" s="160">
        <f t="shared" si="1"/>
        <v>6.3445643664262627E-2</v>
      </c>
      <c r="P9" s="160">
        <f t="shared" si="1"/>
        <v>7.2680518203316571E-2</v>
      </c>
    </row>
    <row r="10" spans="1:16">
      <c r="A10" s="150">
        <v>19</v>
      </c>
      <c r="B10" s="150">
        <v>26810</v>
      </c>
      <c r="C10" s="150">
        <v>29546</v>
      </c>
      <c r="D10" s="150">
        <v>32617</v>
      </c>
      <c r="E10" s="150">
        <v>36068</v>
      </c>
      <c r="F10" s="150">
        <v>39947</v>
      </c>
      <c r="G10" s="150">
        <v>44310</v>
      </c>
      <c r="H10" s="150">
        <v>49216</v>
      </c>
      <c r="J10" s="160">
        <f t="shared" si="1"/>
        <v>1.6698441777963806E-2</v>
      </c>
      <c r="K10" s="160">
        <f t="shared" si="1"/>
        <v>2.6333855426860925E-2</v>
      </c>
      <c r="L10" s="160">
        <f t="shared" si="1"/>
        <v>3.5878312848786106E-2</v>
      </c>
      <c r="M10" s="160">
        <f t="shared" si="1"/>
        <v>4.5339629956483413E-2</v>
      </c>
      <c r="N10" s="160">
        <f t="shared" si="1"/>
        <v>5.4717390858416565E-2</v>
      </c>
      <c r="O10" s="160">
        <f t="shared" si="1"/>
        <v>6.4015665277963887E-2</v>
      </c>
      <c r="P10" s="160">
        <f t="shared" si="1"/>
        <v>7.3230442505114665E-2</v>
      </c>
    </row>
    <row r="11" spans="1:16">
      <c r="A11" s="150">
        <v>20</v>
      </c>
      <c r="B11" s="150">
        <v>28656</v>
      </c>
      <c r="C11" s="150">
        <v>31752</v>
      </c>
      <c r="D11" s="150">
        <v>35253</v>
      </c>
      <c r="E11" s="150">
        <v>39213</v>
      </c>
      <c r="F11" s="150">
        <v>43692</v>
      </c>
      <c r="G11" s="150">
        <v>48769</v>
      </c>
      <c r="H11" s="150">
        <v>54540</v>
      </c>
      <c r="J11" s="160">
        <f t="shared" si="1"/>
        <v>1.7316919450254552E-2</v>
      </c>
      <c r="K11" s="160">
        <f t="shared" si="1"/>
        <v>2.6929407954261818E-2</v>
      </c>
      <c r="L11" s="160">
        <f t="shared" si="1"/>
        <v>3.6457770010998931E-2</v>
      </c>
      <c r="M11" s="160">
        <f t="shared" si="1"/>
        <v>4.5900122859006513E-2</v>
      </c>
      <c r="N11" s="160">
        <f t="shared" si="1"/>
        <v>5.5253191299042964E-2</v>
      </c>
      <c r="O11" s="160">
        <f t="shared" si="1"/>
        <v>6.4534234202600946E-2</v>
      </c>
      <c r="P11" s="160">
        <f t="shared" si="1"/>
        <v>7.3764331205268596E-2</v>
      </c>
    </row>
    <row r="12" spans="1:16">
      <c r="A12" s="150">
        <v>21</v>
      </c>
      <c r="B12" s="150">
        <v>30548</v>
      </c>
      <c r="C12" s="150">
        <v>34036</v>
      </c>
      <c r="D12" s="150">
        <v>38005</v>
      </c>
      <c r="E12" s="150">
        <v>42525</v>
      </c>
      <c r="F12" s="150">
        <v>47677</v>
      </c>
      <c r="G12" s="150">
        <v>53572</v>
      </c>
      <c r="H12" s="150">
        <v>60309</v>
      </c>
      <c r="J12" s="160">
        <f t="shared" si="1"/>
        <v>1.7856633049356238E-2</v>
      </c>
      <c r="K12" s="160">
        <f t="shared" si="1"/>
        <v>2.7453985638469611E-2</v>
      </c>
      <c r="L12" s="160">
        <f t="shared" si="1"/>
        <v>3.6962407107939466E-2</v>
      </c>
      <c r="M12" s="160">
        <f t="shared" si="1"/>
        <v>4.6384750176623794E-2</v>
      </c>
      <c r="N12" s="160">
        <f t="shared" si="1"/>
        <v>5.572502515408008E-2</v>
      </c>
      <c r="O12" s="160">
        <f t="shared" si="1"/>
        <v>6.5013321535870722E-2</v>
      </c>
      <c r="P12" s="160">
        <f t="shared" si="1"/>
        <v>7.4232595042930338E-2</v>
      </c>
    </row>
    <row r="13" spans="1:16">
      <c r="A13" s="150">
        <v>22</v>
      </c>
      <c r="B13" s="150">
        <v>32496</v>
      </c>
      <c r="C13" s="150">
        <v>36407</v>
      </c>
      <c r="D13" s="150">
        <v>40887</v>
      </c>
      <c r="E13" s="150">
        <v>46025</v>
      </c>
      <c r="F13" s="150">
        <v>51936</v>
      </c>
      <c r="G13" s="150">
        <v>58747</v>
      </c>
      <c r="H13" s="150">
        <v>66572</v>
      </c>
      <c r="J13" s="160">
        <f t="shared" si="1"/>
        <v>1.835430162485973E-2</v>
      </c>
      <c r="K13" s="160">
        <f t="shared" si="1"/>
        <v>2.7933358283890628E-2</v>
      </c>
      <c r="L13" s="160">
        <f t="shared" si="1"/>
        <v>3.7422567919862787E-2</v>
      </c>
      <c r="M13" s="160">
        <f t="shared" si="1"/>
        <v>4.6827539887238194E-2</v>
      </c>
      <c r="N13" s="160">
        <f t="shared" si="1"/>
        <v>5.6170632930140338E-2</v>
      </c>
      <c r="O13" s="160">
        <f t="shared" si="1"/>
        <v>6.5458484277990073E-2</v>
      </c>
      <c r="P13" s="160">
        <f t="shared" si="1"/>
        <v>7.4658990956284491E-2</v>
      </c>
    </row>
    <row r="14" spans="1:16">
      <c r="A14" s="150">
        <v>23</v>
      </c>
      <c r="B14" s="150">
        <v>34492</v>
      </c>
      <c r="C14" s="150">
        <v>38858</v>
      </c>
      <c r="D14" s="150">
        <v>43898</v>
      </c>
      <c r="E14" s="150">
        <v>49718</v>
      </c>
      <c r="F14" s="150">
        <v>56481</v>
      </c>
      <c r="G14" s="150">
        <v>64302</v>
      </c>
      <c r="H14" s="150">
        <v>73357</v>
      </c>
      <c r="J14" s="160">
        <f t="shared" si="1"/>
        <v>1.8791641558823416E-2</v>
      </c>
      <c r="K14" s="160">
        <f t="shared" si="1"/>
        <v>2.8352071070990033E-2</v>
      </c>
      <c r="L14" s="160">
        <f t="shared" si="1"/>
        <v>3.7831303379660522E-2</v>
      </c>
      <c r="M14" s="160">
        <f t="shared" si="1"/>
        <v>4.7225020398775151E-2</v>
      </c>
      <c r="N14" s="160">
        <f t="shared" si="1"/>
        <v>5.6582229504360759E-2</v>
      </c>
      <c r="O14" s="160">
        <f t="shared" si="1"/>
        <v>6.5849739145837347E-2</v>
      </c>
      <c r="P14" s="160">
        <f t="shared" si="1"/>
        <v>7.5035181548746263E-2</v>
      </c>
    </row>
    <row r="15" spans="1:16">
      <c r="A15" s="150">
        <v>24</v>
      </c>
      <c r="B15" s="150">
        <v>36546</v>
      </c>
      <c r="C15" s="150">
        <v>41409</v>
      </c>
      <c r="D15" s="150">
        <v>47053</v>
      </c>
      <c r="E15" s="150">
        <v>53639</v>
      </c>
      <c r="F15" s="150">
        <v>61326</v>
      </c>
      <c r="G15" s="150">
        <v>70279</v>
      </c>
      <c r="H15" s="150">
        <v>80724</v>
      </c>
      <c r="J15" s="160">
        <f t="shared" si="1"/>
        <v>1.919706523338064E-2</v>
      </c>
      <c r="K15" s="160">
        <f t="shared" si="1"/>
        <v>2.8751494918899761E-2</v>
      </c>
      <c r="L15" s="160">
        <f t="shared" si="1"/>
        <v>3.8210701763661592E-2</v>
      </c>
      <c r="M15" s="160">
        <f t="shared" si="1"/>
        <v>4.7615746616192806E-2</v>
      </c>
      <c r="N15" s="160">
        <f t="shared" si="1"/>
        <v>5.6957427726136323E-2</v>
      </c>
      <c r="O15" s="160">
        <f t="shared" si="1"/>
        <v>6.6209155747874476E-2</v>
      </c>
      <c r="P15" s="160">
        <f t="shared" si="1"/>
        <v>7.538242203280468E-2</v>
      </c>
    </row>
    <row r="16" spans="1:16">
      <c r="A16" s="150">
        <v>25</v>
      </c>
      <c r="B16" s="150">
        <v>38652</v>
      </c>
      <c r="C16" s="150">
        <v>44043</v>
      </c>
      <c r="D16" s="150">
        <v>50347</v>
      </c>
      <c r="E16" s="150">
        <v>57775</v>
      </c>
      <c r="F16" s="150">
        <v>66486</v>
      </c>
      <c r="G16" s="150">
        <v>76701</v>
      </c>
      <c r="H16" s="150">
        <v>88698</v>
      </c>
      <c r="J16" s="160">
        <f t="shared" si="1"/>
        <v>1.9559047775991208E-2</v>
      </c>
      <c r="K16" s="160">
        <f t="shared" si="1"/>
        <v>2.9097677721456612E-2</v>
      </c>
      <c r="L16" s="160">
        <f t="shared" si="1"/>
        <v>3.8547207171883487E-2</v>
      </c>
      <c r="M16" s="160">
        <f t="shared" si="1"/>
        <v>4.7965610725618335E-2</v>
      </c>
      <c r="N16" s="160">
        <f t="shared" si="1"/>
        <v>5.7295977494321318E-2</v>
      </c>
      <c r="O16" s="160">
        <f t="shared" si="1"/>
        <v>6.6532738941017494E-2</v>
      </c>
      <c r="P16" s="160">
        <f t="shared" si="1"/>
        <v>7.5686174131868469E-2</v>
      </c>
    </row>
    <row r="17" spans="1:16">
      <c r="A17" s="150">
        <v>26</v>
      </c>
      <c r="B17" s="150">
        <v>40821</v>
      </c>
      <c r="C17" s="150">
        <v>46779</v>
      </c>
      <c r="D17" s="150">
        <v>53826</v>
      </c>
      <c r="E17" s="150">
        <v>62158</v>
      </c>
      <c r="F17" s="150">
        <v>71990</v>
      </c>
      <c r="G17" s="150">
        <v>83609</v>
      </c>
      <c r="H17" s="150">
        <v>97359</v>
      </c>
      <c r="J17" s="160">
        <f t="shared" si="1"/>
        <v>1.9900733604285889E-2</v>
      </c>
      <c r="K17" s="160">
        <f t="shared" si="1"/>
        <v>2.9423193576637727E-2</v>
      </c>
      <c r="L17" s="160">
        <f t="shared" si="1"/>
        <v>3.8896413889829083E-2</v>
      </c>
      <c r="M17" s="160">
        <f t="shared" si="1"/>
        <v>4.8301319265647374E-2</v>
      </c>
      <c r="N17" s="160">
        <f t="shared" si="1"/>
        <v>5.7610196194452706E-2</v>
      </c>
      <c r="O17" s="160">
        <f t="shared" si="1"/>
        <v>6.6831097411312212E-2</v>
      </c>
      <c r="P17" s="160">
        <f t="shared" si="1"/>
        <v>7.5971640637998397E-2</v>
      </c>
    </row>
    <row r="18" spans="1:16">
      <c r="A18" s="150">
        <v>27</v>
      </c>
      <c r="B18" s="150">
        <v>43041</v>
      </c>
      <c r="C18" s="150">
        <v>49612</v>
      </c>
      <c r="D18" s="150">
        <v>57454</v>
      </c>
      <c r="E18" s="150">
        <v>66769</v>
      </c>
      <c r="F18" s="150">
        <v>77841</v>
      </c>
      <c r="G18" s="150">
        <v>91028</v>
      </c>
      <c r="H18" s="150">
        <v>106775</v>
      </c>
      <c r="J18" s="160">
        <f t="shared" si="1"/>
        <v>2.0201512386971134E-2</v>
      </c>
      <c r="K18" s="160">
        <f t="shared" si="1"/>
        <v>2.9717759085884518E-2</v>
      </c>
      <c r="L18" s="160">
        <f t="shared" si="1"/>
        <v>3.9201381723156424E-2</v>
      </c>
      <c r="M18" s="160">
        <f t="shared" si="1"/>
        <v>4.8591775182120905E-2</v>
      </c>
      <c r="N18" s="160">
        <f t="shared" si="1"/>
        <v>5.7887168110248209E-2</v>
      </c>
      <c r="O18" s="160">
        <f t="shared" si="1"/>
        <v>6.7099415645292662E-2</v>
      </c>
      <c r="P18" s="160">
        <f t="shared" si="1"/>
        <v>7.6244711514390315E-2</v>
      </c>
    </row>
    <row r="19" spans="1:16">
      <c r="A19" s="150">
        <v>28</v>
      </c>
      <c r="B19" s="150">
        <v>45330</v>
      </c>
      <c r="C19" s="150">
        <v>52573</v>
      </c>
      <c r="D19" s="150">
        <v>61262</v>
      </c>
      <c r="E19" s="150">
        <v>71648</v>
      </c>
      <c r="F19" s="150">
        <v>84088</v>
      </c>
      <c r="G19" s="150">
        <v>99005</v>
      </c>
      <c r="H19" s="150">
        <v>117008</v>
      </c>
      <c r="J19" s="160">
        <f t="shared" si="1"/>
        <v>2.0491747462178772E-2</v>
      </c>
      <c r="K19" s="160">
        <f t="shared" si="1"/>
        <v>3.0018473659618041E-2</v>
      </c>
      <c r="L19" s="160">
        <f t="shared" si="1"/>
        <v>3.9493359219916375E-2</v>
      </c>
      <c r="M19" s="160">
        <f t="shared" si="1"/>
        <v>4.8867279311316965E-2</v>
      </c>
      <c r="N19" s="160">
        <f t="shared" si="1"/>
        <v>5.8150880823027315E-2</v>
      </c>
      <c r="O19" s="160">
        <f t="shared" si="1"/>
        <v>6.734691799429042E-2</v>
      </c>
      <c r="P19" s="160">
        <f t="shared" si="1"/>
        <v>7.6503709132968889E-2</v>
      </c>
    </row>
    <row r="20" spans="1:16">
      <c r="A20" s="150">
        <v>29</v>
      </c>
      <c r="B20" s="150">
        <v>47674</v>
      </c>
      <c r="C20" s="150">
        <v>55641</v>
      </c>
      <c r="D20" s="150">
        <v>65240</v>
      </c>
      <c r="E20" s="150">
        <v>76795</v>
      </c>
      <c r="F20" s="150">
        <v>90733</v>
      </c>
      <c r="G20" s="150">
        <v>107609</v>
      </c>
      <c r="H20" s="150">
        <v>128110</v>
      </c>
      <c r="J20" s="160">
        <f t="shared" si="1"/>
        <v>2.0750070173292612E-2</v>
      </c>
      <c r="K20" s="160">
        <f t="shared" si="1"/>
        <v>3.0292791960761511E-2</v>
      </c>
      <c r="L20" s="160">
        <f t="shared" si="1"/>
        <v>3.9755740155018912E-2</v>
      </c>
      <c r="M20" s="160">
        <f t="shared" si="1"/>
        <v>4.9117201080323927E-2</v>
      </c>
      <c r="N20" s="160">
        <f t="shared" si="1"/>
        <v>5.8386901006664757E-2</v>
      </c>
      <c r="O20" s="160">
        <f t="shared" si="1"/>
        <v>6.7589200480907649E-2</v>
      </c>
      <c r="P20" s="160">
        <f t="shared" si="1"/>
        <v>7.6741644029810402E-2</v>
      </c>
    </row>
    <row r="21" spans="1:16">
      <c r="A21" s="150">
        <v>30</v>
      </c>
      <c r="B21" s="150">
        <v>50087</v>
      </c>
      <c r="C21" s="150">
        <v>58833</v>
      </c>
      <c r="D21" s="150">
        <v>69407</v>
      </c>
      <c r="E21" s="150">
        <v>82233</v>
      </c>
      <c r="F21" s="150">
        <v>97821</v>
      </c>
      <c r="G21" s="150">
        <v>116896</v>
      </c>
      <c r="H21" s="150">
        <v>140157</v>
      </c>
      <c r="J21" s="160">
        <f t="shared" si="1"/>
        <v>2.099622754749092E-2</v>
      </c>
      <c r="K21" s="160">
        <f t="shared" si="1"/>
        <v>3.05568995132059E-2</v>
      </c>
      <c r="L21" s="160">
        <f t="shared" si="1"/>
        <v>4.000166477732349E-2</v>
      </c>
      <c r="M21" s="160">
        <f t="shared" si="1"/>
        <v>4.9350202813954303E-2</v>
      </c>
      <c r="N21" s="160">
        <f t="shared" si="1"/>
        <v>5.8609536639186333E-2</v>
      </c>
      <c r="O21" s="160">
        <f t="shared" si="1"/>
        <v>6.7828253149118375E-2</v>
      </c>
      <c r="P21" s="160">
        <f t="shared" si="1"/>
        <v>7.6961659706293303E-2</v>
      </c>
    </row>
    <row r="22" spans="1:16">
      <c r="A22" s="150">
        <v>31</v>
      </c>
      <c r="B22" s="150">
        <v>52583</v>
      </c>
      <c r="C22" s="150">
        <v>62131</v>
      </c>
      <c r="D22" s="150">
        <v>73761</v>
      </c>
      <c r="E22" s="150">
        <v>87966</v>
      </c>
      <c r="F22" s="150">
        <v>105390</v>
      </c>
      <c r="G22" s="150">
        <v>126850</v>
      </c>
      <c r="H22" s="150">
        <v>153202</v>
      </c>
      <c r="J22" s="160">
        <f t="shared" si="1"/>
        <v>2.1244188448494111E-2</v>
      </c>
      <c r="K22" s="160">
        <f t="shared" si="1"/>
        <v>3.0790192353243987E-2</v>
      </c>
      <c r="L22" s="160">
        <f t="shared" si="1"/>
        <v>4.0224531056271509E-2</v>
      </c>
      <c r="M22" s="160">
        <f t="shared" si="1"/>
        <v>4.9560503321614463E-2</v>
      </c>
      <c r="N22" s="160">
        <f t="shared" si="1"/>
        <v>5.882379555768516E-2</v>
      </c>
      <c r="O22" s="160">
        <f t="shared" si="1"/>
        <v>6.8035729897618538E-2</v>
      </c>
      <c r="P22" s="160">
        <f t="shared" si="1"/>
        <v>7.7157075006178633E-2</v>
      </c>
    </row>
    <row r="23" spans="1:16">
      <c r="A23" s="150">
        <v>32</v>
      </c>
      <c r="B23" s="150">
        <v>55154</v>
      </c>
      <c r="C23" s="150">
        <v>65562</v>
      </c>
      <c r="D23" s="150">
        <v>78330</v>
      </c>
      <c r="E23" s="150">
        <v>94037</v>
      </c>
      <c r="F23" s="150">
        <v>113494</v>
      </c>
      <c r="G23" s="150">
        <v>137583</v>
      </c>
      <c r="H23" s="150">
        <v>167391</v>
      </c>
      <c r="J23" s="160">
        <f t="shared" si="1"/>
        <v>2.1481083243891141E-2</v>
      </c>
      <c r="K23" s="160">
        <f t="shared" si="1"/>
        <v>3.1016263234140654E-2</v>
      </c>
      <c r="L23" s="160">
        <f t="shared" si="1"/>
        <v>4.0440191180886036E-2</v>
      </c>
      <c r="M23" s="160">
        <f t="shared" si="1"/>
        <v>4.9765370516427543E-2</v>
      </c>
      <c r="N23" s="160">
        <f t="shared" si="1"/>
        <v>5.9038881149667724E-2</v>
      </c>
      <c r="O23" s="160">
        <f t="shared" si="1"/>
        <v>6.8238296027437001E-2</v>
      </c>
      <c r="P23" s="160">
        <f t="shared" si="1"/>
        <v>7.7348663692617614E-2</v>
      </c>
    </row>
    <row r="24" spans="1:16">
      <c r="A24" s="150">
        <v>33</v>
      </c>
      <c r="B24" s="150">
        <v>57794</v>
      </c>
      <c r="C24" s="150">
        <v>69109</v>
      </c>
      <c r="D24" s="150">
        <v>83093</v>
      </c>
      <c r="E24" s="150">
        <v>100428</v>
      </c>
      <c r="F24" s="150">
        <v>122109</v>
      </c>
      <c r="G24" s="150">
        <v>149099</v>
      </c>
      <c r="H24" s="150">
        <v>182746</v>
      </c>
      <c r="J24" s="160">
        <f t="shared" si="1"/>
        <v>2.1699720528067852E-2</v>
      </c>
      <c r="K24" s="160">
        <f t="shared" si="1"/>
        <v>3.1218190232752477E-2</v>
      </c>
      <c r="L24" s="160">
        <f t="shared" si="1"/>
        <v>4.0629553400797963E-2</v>
      </c>
      <c r="M24" s="160">
        <f t="shared" si="1"/>
        <v>4.9946235175392276E-2</v>
      </c>
      <c r="N24" s="160">
        <f t="shared" si="1"/>
        <v>5.9229541746589807E-2</v>
      </c>
      <c r="O24" s="160">
        <f t="shared" si="1"/>
        <v>6.8418122485974439E-2</v>
      </c>
      <c r="P24" s="160">
        <f t="shared" si="1"/>
        <v>7.7516829163674486E-2</v>
      </c>
    </row>
    <row r="25" spans="1:16">
      <c r="A25" s="150">
        <v>34</v>
      </c>
      <c r="B25" s="150">
        <v>60509</v>
      </c>
      <c r="C25" s="150">
        <v>72798</v>
      </c>
      <c r="D25" s="150">
        <v>88093</v>
      </c>
      <c r="E25" s="150">
        <v>107239</v>
      </c>
      <c r="F25" s="150">
        <v>131306</v>
      </c>
      <c r="G25" s="150">
        <v>161490</v>
      </c>
      <c r="H25" s="150">
        <v>199431</v>
      </c>
      <c r="J25" s="160">
        <f t="shared" si="1"/>
        <v>2.1905651297213943E-2</v>
      </c>
      <c r="K25" s="160">
        <f t="shared" si="1"/>
        <v>3.1414333269539158E-2</v>
      </c>
      <c r="L25" s="160">
        <f t="shared" si="1"/>
        <v>4.0815280490525421E-2</v>
      </c>
      <c r="M25" s="160">
        <f t="shared" si="1"/>
        <v>5.0142463294573739E-2</v>
      </c>
      <c r="N25" s="160">
        <f t="shared" si="1"/>
        <v>5.9412369247834211E-2</v>
      </c>
      <c r="O25" s="160">
        <f t="shared" si="1"/>
        <v>6.8587720644438757E-2</v>
      </c>
      <c r="P25" s="160">
        <f t="shared" si="1"/>
        <v>7.767943851800517E-2</v>
      </c>
    </row>
    <row r="26" spans="1:16">
      <c r="A26" s="150">
        <v>35</v>
      </c>
      <c r="B26" s="150">
        <v>63291</v>
      </c>
      <c r="C26" s="150">
        <v>76611</v>
      </c>
      <c r="D26" s="150">
        <v>93315</v>
      </c>
      <c r="E26" s="150">
        <v>114424</v>
      </c>
      <c r="F26" s="150">
        <v>141103</v>
      </c>
      <c r="G26" s="150">
        <v>174811</v>
      </c>
      <c r="H26" s="150">
        <v>217583</v>
      </c>
      <c r="J26" s="160">
        <f t="shared" si="1"/>
        <v>2.2091787420303866E-2</v>
      </c>
      <c r="K26" s="160">
        <f t="shared" si="1"/>
        <v>3.1589586535276673E-2</v>
      </c>
      <c r="L26" s="160">
        <f t="shared" si="1"/>
        <v>4.0983560963967235E-2</v>
      </c>
      <c r="M26" s="160">
        <f t="shared" si="1"/>
        <v>5.0321433451278166E-2</v>
      </c>
      <c r="N26" s="160">
        <f t="shared" si="1"/>
        <v>5.9581065651243964E-2</v>
      </c>
      <c r="O26" s="160">
        <f t="shared" si="1"/>
        <v>6.8745089540723919E-2</v>
      </c>
      <c r="P26" s="160">
        <f t="shared" si="1"/>
        <v>7.7840522357011693E-2</v>
      </c>
    </row>
    <row r="27" spans="1:16">
      <c r="A27" s="150">
        <v>36</v>
      </c>
      <c r="B27" s="150">
        <v>66164</v>
      </c>
      <c r="C27" s="150">
        <v>80579</v>
      </c>
      <c r="D27" s="150">
        <v>98784</v>
      </c>
      <c r="E27" s="150">
        <v>122021</v>
      </c>
      <c r="F27" s="150">
        <v>151543</v>
      </c>
      <c r="G27" s="150">
        <v>189143</v>
      </c>
      <c r="H27" s="150">
        <v>237323</v>
      </c>
      <c r="J27" s="160">
        <f t="shared" si="1"/>
        <v>2.2277111767939034E-2</v>
      </c>
      <c r="K27" s="160">
        <f t="shared" si="1"/>
        <v>3.1762216855517195E-2</v>
      </c>
      <c r="L27" s="160">
        <f t="shared" si="1"/>
        <v>4.1143366981881625E-2</v>
      </c>
      <c r="M27" s="160">
        <f t="shared" si="1"/>
        <v>5.0491333895043608E-2</v>
      </c>
      <c r="N27" s="160">
        <f t="shared" si="1"/>
        <v>5.973818595265383E-2</v>
      </c>
      <c r="O27" s="160">
        <f t="shared" si="1"/>
        <v>6.8893856404634024E-2</v>
      </c>
      <c r="P27" s="160">
        <f t="shared" si="1"/>
        <v>7.7997968029451387E-2</v>
      </c>
    </row>
    <row r="28" spans="1:16">
      <c r="A28" s="150">
        <v>37</v>
      </c>
      <c r="B28" s="150">
        <v>69100</v>
      </c>
      <c r="C28" s="150">
        <v>84682</v>
      </c>
      <c r="D28" s="150">
        <v>104528</v>
      </c>
      <c r="E28" s="150">
        <v>130027</v>
      </c>
      <c r="F28" s="150">
        <v>162655</v>
      </c>
      <c r="G28" s="150">
        <v>204543</v>
      </c>
      <c r="H28" s="150">
        <v>258721</v>
      </c>
      <c r="J28" s="160">
        <f t="shared" si="1"/>
        <v>2.2439518375872824E-2</v>
      </c>
      <c r="K28" s="160">
        <f t="shared" si="1"/>
        <v>3.1917671920994116E-2</v>
      </c>
      <c r="L28" s="160">
        <f t="shared" si="1"/>
        <v>4.1302087638484711E-2</v>
      </c>
      <c r="M28" s="160">
        <f t="shared" si="1"/>
        <v>5.0644172423528908E-2</v>
      </c>
      <c r="N28" s="160">
        <f t="shared" si="1"/>
        <v>5.9881538155491992E-2</v>
      </c>
      <c r="O28" s="160">
        <f t="shared" si="1"/>
        <v>6.9030849915864834E-2</v>
      </c>
      <c r="P28" s="160">
        <f t="shared" si="1"/>
        <v>7.814124447608517E-2</v>
      </c>
    </row>
    <row r="29" spans="1:16">
      <c r="A29" s="150">
        <v>38</v>
      </c>
      <c r="B29" s="150">
        <v>72129</v>
      </c>
      <c r="C29" s="150">
        <v>88947</v>
      </c>
      <c r="D29" s="150">
        <v>110583</v>
      </c>
      <c r="E29" s="150">
        <v>138518</v>
      </c>
      <c r="F29" s="150">
        <v>174537</v>
      </c>
      <c r="G29" s="150">
        <v>221228</v>
      </c>
      <c r="H29" s="150">
        <v>281957</v>
      </c>
      <c r="J29" s="160">
        <f t="shared" si="1"/>
        <v>2.2600291005107947E-2</v>
      </c>
      <c r="K29" s="160">
        <f t="shared" si="1"/>
        <v>3.2069086588939387E-2</v>
      </c>
      <c r="L29" s="160">
        <f t="shared" si="1"/>
        <v>4.1467605616155312E-2</v>
      </c>
      <c r="M29" s="160">
        <f t="shared" si="1"/>
        <v>5.079783506441532E-2</v>
      </c>
      <c r="N29" s="160">
        <f t="shared" si="1"/>
        <v>6.0024985179126189E-2</v>
      </c>
      <c r="O29" s="160">
        <f t="shared" si="1"/>
        <v>6.9180958279774218E-2</v>
      </c>
      <c r="P29" s="160">
        <f t="shared" si="1"/>
        <v>7.8277355915202254E-2</v>
      </c>
    </row>
    <row r="30" spans="1:16">
      <c r="A30" s="150">
        <v>39</v>
      </c>
      <c r="B30" s="150">
        <v>75234</v>
      </c>
      <c r="C30" s="150">
        <v>93357</v>
      </c>
      <c r="D30" s="150">
        <v>116896</v>
      </c>
      <c r="E30" s="150">
        <v>147448</v>
      </c>
      <c r="F30" s="150">
        <v>187148</v>
      </c>
      <c r="G30" s="150">
        <v>239129</v>
      </c>
      <c r="H30" s="150">
        <v>307180</v>
      </c>
      <c r="J30" s="160">
        <f t="shared" si="1"/>
        <v>2.2747101967284647E-2</v>
      </c>
      <c r="K30" s="160">
        <f t="shared" si="1"/>
        <v>3.220569169381432E-2</v>
      </c>
      <c r="L30" s="160">
        <f t="shared" si="1"/>
        <v>4.161368242922249E-2</v>
      </c>
      <c r="M30" s="160">
        <f t="shared" si="1"/>
        <v>5.0931325123595272E-2</v>
      </c>
      <c r="N30" s="160">
        <f t="shared" si="1"/>
        <v>6.0148613786614437E-2</v>
      </c>
      <c r="O30" s="160">
        <f t="shared" si="1"/>
        <v>6.9314078251915281E-2</v>
      </c>
      <c r="P30" s="160">
        <f t="shared" si="1"/>
        <v>7.8405717208941253E-2</v>
      </c>
    </row>
    <row r="31" spans="1:16">
      <c r="A31" s="150">
        <v>40</v>
      </c>
      <c r="B31" s="150">
        <v>78522</v>
      </c>
      <c r="C31" s="150">
        <v>98073</v>
      </c>
      <c r="D31" s="150">
        <v>123710</v>
      </c>
      <c r="E31" s="150">
        <v>157177</v>
      </c>
      <c r="F31" s="150">
        <v>201003</v>
      </c>
      <c r="G31" s="150">
        <v>258945</v>
      </c>
      <c r="H31" s="150">
        <v>335443</v>
      </c>
      <c r="J31" s="160">
        <f t="shared" si="1"/>
        <v>2.2939865943988221E-2</v>
      </c>
      <c r="K31" s="160">
        <f t="shared" si="1"/>
        <v>3.2395286920026169E-2</v>
      </c>
      <c r="L31" s="160">
        <f t="shared" si="1"/>
        <v>4.1817237354559209E-2</v>
      </c>
      <c r="M31" s="160">
        <f t="shared" si="1"/>
        <v>5.1129207938284016E-2</v>
      </c>
      <c r="N31" s="160">
        <f t="shared" si="1"/>
        <v>6.0341316666644496E-2</v>
      </c>
      <c r="O31" s="160">
        <f t="shared" si="1"/>
        <v>6.9516556059638857E-2</v>
      </c>
      <c r="P31" s="160">
        <f t="shared" si="1"/>
        <v>7.8618384195010854E-2</v>
      </c>
    </row>
    <row r="32" spans="1:16">
      <c r="A32" s="150">
        <v>41</v>
      </c>
      <c r="B32" s="150">
        <v>82019</v>
      </c>
      <c r="C32" s="150">
        <v>103163</v>
      </c>
      <c r="D32" s="150">
        <v>131090</v>
      </c>
      <c r="E32" s="150">
        <v>167808</v>
      </c>
      <c r="F32" s="150">
        <v>216388</v>
      </c>
      <c r="G32" s="150">
        <v>281014</v>
      </c>
      <c r="H32" s="150">
        <v>367218</v>
      </c>
      <c r="J32" s="160">
        <f t="shared" si="1"/>
        <v>2.3180306789145053E-2</v>
      </c>
      <c r="K32" s="160">
        <f t="shared" si="1"/>
        <v>3.2648976984289077E-2</v>
      </c>
      <c r="L32" s="160">
        <f t="shared" si="1"/>
        <v>4.2077605442263188E-2</v>
      </c>
      <c r="M32" s="160">
        <f t="shared" si="1"/>
        <v>5.1389168492630671E-2</v>
      </c>
      <c r="N32" s="160">
        <f t="shared" si="1"/>
        <v>6.0619748885098412E-2</v>
      </c>
      <c r="O32" s="160">
        <f t="shared" si="1"/>
        <v>6.9793857798197481E-2</v>
      </c>
      <c r="P32" s="160">
        <f t="shared" si="1"/>
        <v>7.8911583328512586E-2</v>
      </c>
    </row>
    <row r="33" spans="1:16">
      <c r="A33" s="150">
        <v>42</v>
      </c>
      <c r="B33" s="150">
        <v>85619</v>
      </c>
      <c r="C33" s="150">
        <v>108478</v>
      </c>
      <c r="D33" s="150">
        <v>138838</v>
      </c>
      <c r="E33" s="150">
        <v>179076</v>
      </c>
      <c r="F33" s="150">
        <v>232856</v>
      </c>
      <c r="G33" s="150">
        <v>304883</v>
      </c>
      <c r="H33" s="150">
        <v>401885</v>
      </c>
      <c r="J33" s="160">
        <f t="shared" si="1"/>
        <v>2.3404909058979188E-2</v>
      </c>
      <c r="K33" s="160">
        <f t="shared" si="1"/>
        <v>3.2894271255269877E-2</v>
      </c>
      <c r="L33" s="160">
        <f t="shared" si="1"/>
        <v>4.2320943434240671E-2</v>
      </c>
      <c r="M33" s="160">
        <f t="shared" si="1"/>
        <v>5.1632424531307834E-2</v>
      </c>
      <c r="N33" s="160">
        <f t="shared" si="1"/>
        <v>6.0880314107862848E-2</v>
      </c>
      <c r="O33" s="160">
        <f t="shared" si="1"/>
        <v>7.0056383123902749E-2</v>
      </c>
      <c r="P33" s="160">
        <f t="shared" si="1"/>
        <v>7.918654443497776E-2</v>
      </c>
    </row>
    <row r="34" spans="1:16">
      <c r="A34" s="150">
        <v>43</v>
      </c>
      <c r="B34" s="150">
        <v>89325</v>
      </c>
      <c r="C34" s="150">
        <v>114005</v>
      </c>
      <c r="D34" s="150">
        <v>146974</v>
      </c>
      <c r="E34" s="150">
        <v>191021</v>
      </c>
      <c r="F34" s="150">
        <v>250488</v>
      </c>
      <c r="G34" s="150">
        <v>330817</v>
      </c>
      <c r="H34" s="150">
        <v>439712</v>
      </c>
      <c r="J34" s="160">
        <f t="shared" si="1"/>
        <v>2.3615073966362105E-2</v>
      </c>
      <c r="K34" s="160">
        <f t="shared" si="1"/>
        <v>3.3123780554758758E-2</v>
      </c>
      <c r="L34" s="160">
        <f t="shared" si="1"/>
        <v>4.2549179790162622E-2</v>
      </c>
      <c r="M34" s="160">
        <f t="shared" si="1"/>
        <v>5.1860786716275878E-2</v>
      </c>
      <c r="N34" s="160">
        <f t="shared" si="1"/>
        <v>6.1125237230191615E-2</v>
      </c>
      <c r="O34" s="160">
        <f t="shared" si="1"/>
        <v>7.0316834147990503E-2</v>
      </c>
      <c r="P34" s="160">
        <f t="shared" si="1"/>
        <v>7.9445204771868366E-2</v>
      </c>
    </row>
    <row r="35" spans="1:16">
      <c r="A35" s="150">
        <v>44</v>
      </c>
      <c r="B35" s="150">
        <v>93140</v>
      </c>
      <c r="C35" s="150">
        <v>119752</v>
      </c>
      <c r="D35" s="150">
        <v>155516</v>
      </c>
      <c r="E35" s="150">
        <v>203706</v>
      </c>
      <c r="F35" s="150">
        <v>269360</v>
      </c>
      <c r="G35" s="150">
        <v>358847</v>
      </c>
      <c r="H35" s="150">
        <v>480978</v>
      </c>
      <c r="J35" s="160">
        <f t="shared" si="1"/>
        <v>2.3812011743468055E-2</v>
      </c>
      <c r="K35" s="160">
        <f t="shared" si="1"/>
        <v>3.3338746423276416E-2</v>
      </c>
      <c r="L35" s="160">
        <f t="shared" si="1"/>
        <v>4.2763279952153975E-2</v>
      </c>
      <c r="M35" s="160">
        <f t="shared" si="1"/>
        <v>5.2079223319745349E-2</v>
      </c>
      <c r="N35" s="160">
        <f t="shared" si="1"/>
        <v>6.1355064403551179E-2</v>
      </c>
      <c r="O35" s="160">
        <f t="shared" si="1"/>
        <v>7.056128557008895E-2</v>
      </c>
      <c r="P35" s="160">
        <f t="shared" si="1"/>
        <v>7.9688344155784019E-2</v>
      </c>
    </row>
    <row r="36" spans="1:16">
      <c r="A36" s="150">
        <v>45</v>
      </c>
      <c r="B36" s="150">
        <v>97067</v>
      </c>
      <c r="C36" s="150">
        <v>125729</v>
      </c>
      <c r="D36" s="150">
        <v>164484</v>
      </c>
      <c r="E36" s="150">
        <v>217235</v>
      </c>
      <c r="F36" s="150">
        <v>289563</v>
      </c>
      <c r="G36" s="150">
        <v>389153</v>
      </c>
      <c r="H36" s="150">
        <v>526005</v>
      </c>
      <c r="J36" s="160">
        <f t="shared" si="1"/>
        <v>2.3996772895000962E-2</v>
      </c>
      <c r="K36" s="160">
        <f t="shared" si="1"/>
        <v>3.3540776211054821E-2</v>
      </c>
      <c r="L36" s="160">
        <f t="shared" si="1"/>
        <v>4.2964389952069505E-2</v>
      </c>
      <c r="M36" s="160">
        <f t="shared" si="1"/>
        <v>5.229709646051213E-2</v>
      </c>
      <c r="N36" s="160">
        <f t="shared" si="1"/>
        <v>6.1571501542494828E-2</v>
      </c>
      <c r="O36" s="160">
        <f t="shared" si="1"/>
        <v>7.079194868678694E-2</v>
      </c>
      <c r="P36" s="160">
        <f t="shared" si="1"/>
        <v>7.9917807895066501E-2</v>
      </c>
    </row>
    <row r="37" spans="1:16">
      <c r="A37" s="150">
        <v>46</v>
      </c>
      <c r="B37" s="150">
        <v>101122</v>
      </c>
      <c r="C37" s="150">
        <v>131946</v>
      </c>
      <c r="D37" s="150">
        <v>173902</v>
      </c>
      <c r="E37" s="150">
        <v>231584</v>
      </c>
      <c r="F37" s="150">
        <v>311271</v>
      </c>
      <c r="G37" s="150">
        <v>421917</v>
      </c>
      <c r="H37" s="150">
        <v>575137</v>
      </c>
      <c r="J37" s="160">
        <f>RATE($A37*12,-100,0,B37)*12</f>
        <v>2.4175022073723781E-2</v>
      </c>
      <c r="K37" s="160">
        <f t="shared" si="1"/>
        <v>3.3731147695134051E-2</v>
      </c>
      <c r="L37" s="160">
        <f t="shared" si="1"/>
        <v>4.3154118933303669E-2</v>
      </c>
      <c r="M37" s="160">
        <f t="shared" si="1"/>
        <v>5.2502576351625266E-2</v>
      </c>
      <c r="N37" s="160">
        <f t="shared" si="1"/>
        <v>6.1783573402904031E-2</v>
      </c>
      <c r="O37" s="160">
        <f t="shared" si="1"/>
        <v>7.1009714552516284E-2</v>
      </c>
      <c r="P37" s="160">
        <f t="shared" si="1"/>
        <v>8.0134741992754957E-2</v>
      </c>
    </row>
    <row r="38" spans="1:16">
      <c r="A38" s="150">
        <v>47</v>
      </c>
      <c r="B38" s="150">
        <v>105336</v>
      </c>
      <c r="C38" s="150">
        <v>138410</v>
      </c>
      <c r="D38" s="150">
        <v>183789</v>
      </c>
      <c r="E38" s="150">
        <v>246800</v>
      </c>
      <c r="F38" s="150">
        <v>334597</v>
      </c>
      <c r="G38" s="150">
        <v>457335</v>
      </c>
      <c r="H38" s="150">
        <v>628739</v>
      </c>
      <c r="J38" s="160">
        <f t="shared" si="1"/>
        <v>2.435621840526421E-2</v>
      </c>
      <c r="K38" s="160">
        <f t="shared" si="1"/>
        <v>3.3910139217278881E-2</v>
      </c>
      <c r="L38" s="160">
        <f t="shared" si="1"/>
        <v>4.3332726817379791E-2</v>
      </c>
      <c r="M38" s="160">
        <f t="shared" si="1"/>
        <v>5.2696301437017631E-2</v>
      </c>
      <c r="N38" s="160">
        <f t="shared" si="1"/>
        <v>6.1991126991314108E-2</v>
      </c>
      <c r="O38" s="160">
        <f t="shared" si="1"/>
        <v>7.1215382736516092E-2</v>
      </c>
      <c r="P38" s="160">
        <f t="shared" si="1"/>
        <v>8.0339695877274561E-2</v>
      </c>
    </row>
    <row r="39" spans="1:16">
      <c r="A39" s="150">
        <v>48</v>
      </c>
      <c r="B39" s="150">
        <v>109678</v>
      </c>
      <c r="C39" s="150">
        <v>145133</v>
      </c>
      <c r="D39" s="150">
        <v>194172</v>
      </c>
      <c r="E39" s="150">
        <v>262939</v>
      </c>
      <c r="F39" s="150">
        <v>359583</v>
      </c>
      <c r="G39" s="150">
        <v>495629</v>
      </c>
      <c r="H39" s="150">
        <v>687230</v>
      </c>
      <c r="J39" s="160">
        <f t="shared" si="1"/>
        <v>2.4527593610400196E-2</v>
      </c>
      <c r="K39" s="160">
        <f t="shared" si="1"/>
        <v>3.4079174945919735E-2</v>
      </c>
      <c r="L39" s="160">
        <f t="shared" si="1"/>
        <v>4.3501700885061854E-2</v>
      </c>
      <c r="M39" s="160">
        <f t="shared" si="1"/>
        <v>5.2879620001500011E-2</v>
      </c>
      <c r="N39" s="160">
        <f t="shared" si="1"/>
        <v>6.2187601479268148E-2</v>
      </c>
      <c r="O39" s="160">
        <f t="shared" si="1"/>
        <v>7.1410300424901138E-2</v>
      </c>
      <c r="P39" s="160">
        <f t="shared" si="1"/>
        <v>8.0534103147960251E-2</v>
      </c>
    </row>
    <row r="40" spans="1:16">
      <c r="A40" s="150">
        <v>49</v>
      </c>
      <c r="B40" s="150">
        <v>114149</v>
      </c>
      <c r="C40" s="150">
        <v>152126</v>
      </c>
      <c r="D40" s="150">
        <v>205116</v>
      </c>
      <c r="E40" s="150">
        <v>280054</v>
      </c>
      <c r="F40" s="150">
        <v>386343</v>
      </c>
      <c r="G40" s="150">
        <v>537025</v>
      </c>
      <c r="H40" s="150">
        <v>751044</v>
      </c>
      <c r="J40" s="160">
        <f t="shared" si="1"/>
        <v>2.4689019938335978E-2</v>
      </c>
      <c r="K40" s="160">
        <f t="shared" si="1"/>
        <v>3.4239150237477617E-2</v>
      </c>
      <c r="L40" s="160">
        <f t="shared" si="1"/>
        <v>4.3667787952352301E-2</v>
      </c>
      <c r="M40" s="160">
        <f t="shared" si="1"/>
        <v>5.305299577353384E-2</v>
      </c>
      <c r="N40" s="160">
        <f t="shared" ref="N40:P51" si="2">RATE($A40*12,-100,0,F40)*12</f>
        <v>6.2373520482129588E-2</v>
      </c>
      <c r="O40" s="160">
        <f t="shared" si="2"/>
        <v>7.1594870973769736E-2</v>
      </c>
      <c r="P40" s="160">
        <f t="shared" si="2"/>
        <v>8.0718303721340798E-2</v>
      </c>
    </row>
    <row r="41" spans="1:16">
      <c r="A41" s="150">
        <v>50</v>
      </c>
      <c r="B41" s="150">
        <v>118753</v>
      </c>
      <c r="C41" s="150">
        <v>159396</v>
      </c>
      <c r="D41" s="150">
        <v>216671</v>
      </c>
      <c r="E41" s="150">
        <v>298202</v>
      </c>
      <c r="F41" s="150">
        <v>415003</v>
      </c>
      <c r="G41" s="150">
        <v>581773</v>
      </c>
      <c r="H41" s="150">
        <v>820666</v>
      </c>
      <c r="J41" s="160">
        <f t="shared" ref="J41:M51" si="3">RATE($A41*12,-100,0,B41)*12</f>
        <v>2.4841324712191484E-2</v>
      </c>
      <c r="K41" s="160">
        <f t="shared" si="3"/>
        <v>3.4389976246279916E-2</v>
      </c>
      <c r="L41" s="160">
        <f t="shared" si="3"/>
        <v>4.3833561648363981E-2</v>
      </c>
      <c r="M41" s="160">
        <f t="shared" si="3"/>
        <v>5.3216983721834615E-2</v>
      </c>
      <c r="N41" s="160">
        <f t="shared" si="2"/>
        <v>6.2549682313717436E-2</v>
      </c>
      <c r="O41" s="160">
        <f t="shared" si="2"/>
        <v>7.1769811910825348E-2</v>
      </c>
      <c r="P41" s="160">
        <f t="shared" si="2"/>
        <v>8.0893079986115071E-2</v>
      </c>
    </row>
    <row r="42" spans="1:16">
      <c r="A42" s="150">
        <v>51</v>
      </c>
      <c r="B42" s="150">
        <v>123495</v>
      </c>
      <c r="C42" s="150">
        <v>166958</v>
      </c>
      <c r="D42" s="150">
        <v>228811</v>
      </c>
      <c r="E42" s="150">
        <v>317583</v>
      </c>
      <c r="F42" s="150">
        <v>445702</v>
      </c>
      <c r="G42" s="150">
        <v>630154</v>
      </c>
      <c r="H42" s="150">
        <v>896638</v>
      </c>
      <c r="J42" s="160">
        <f t="shared" si="3"/>
        <v>2.4985481741060474E-2</v>
      </c>
      <c r="K42" s="160">
        <f t="shared" si="3"/>
        <v>3.4533104457820187E-2</v>
      </c>
      <c r="L42" s="160">
        <f t="shared" si="3"/>
        <v>4.3990861163169116E-2</v>
      </c>
      <c r="M42" s="160">
        <f t="shared" si="3"/>
        <v>5.3384456252119808E-2</v>
      </c>
      <c r="N42" s="160">
        <f t="shared" si="2"/>
        <v>6.2717054902014638E-2</v>
      </c>
      <c r="O42" s="160">
        <f t="shared" si="2"/>
        <v>7.1936233554414614E-2</v>
      </c>
      <c r="P42" s="160">
        <f t="shared" si="2"/>
        <v>8.1059501731089098E-2</v>
      </c>
    </row>
    <row r="43" spans="1:16">
      <c r="A43" s="150">
        <v>52</v>
      </c>
      <c r="B43" s="150">
        <v>128380</v>
      </c>
      <c r="C43" s="150">
        <v>174822</v>
      </c>
      <c r="D43" s="150">
        <v>241563</v>
      </c>
      <c r="E43" s="150">
        <v>338172</v>
      </c>
      <c r="F43" s="150">
        <v>478582</v>
      </c>
      <c r="G43" s="150">
        <v>682455</v>
      </c>
      <c r="H43" s="150">
        <v>979524</v>
      </c>
      <c r="J43" s="160">
        <f t="shared" si="3"/>
        <v>2.5122302561053717E-2</v>
      </c>
      <c r="K43" s="160">
        <f t="shared" si="3"/>
        <v>3.466878282089246E-2</v>
      </c>
      <c r="L43" s="160">
        <f t="shared" si="3"/>
        <v>4.4139979084648416E-2</v>
      </c>
      <c r="M43" s="160">
        <f t="shared" si="3"/>
        <v>5.354562675923695E-2</v>
      </c>
      <c r="N43" s="160">
        <f t="shared" si="2"/>
        <v>6.2876085689902037E-2</v>
      </c>
      <c r="O43" s="160">
        <f t="shared" si="2"/>
        <v>7.2094422925271406E-2</v>
      </c>
      <c r="P43" s="160">
        <f t="shared" si="2"/>
        <v>8.1217747905614548E-2</v>
      </c>
    </row>
    <row r="44" spans="1:16">
      <c r="A44" s="150">
        <v>53</v>
      </c>
      <c r="B44" s="150">
        <v>133410</v>
      </c>
      <c r="C44" s="150">
        <v>183000</v>
      </c>
      <c r="D44" s="150">
        <v>254960</v>
      </c>
      <c r="E44" s="150">
        <v>360019</v>
      </c>
      <c r="F44" s="150">
        <v>513799</v>
      </c>
      <c r="G44" s="150">
        <v>738999</v>
      </c>
      <c r="H44" s="150">
        <v>1069966</v>
      </c>
      <c r="J44" s="160">
        <f t="shared" si="3"/>
        <v>2.5251763817127633E-2</v>
      </c>
      <c r="K44" s="160">
        <f t="shared" si="3"/>
        <v>3.4797535400110019E-2</v>
      </c>
      <c r="L44" s="160">
        <f t="shared" si="3"/>
        <v>4.4281739476239007E-2</v>
      </c>
      <c r="M44" s="160">
        <f t="shared" si="3"/>
        <v>5.3698921199804656E-2</v>
      </c>
      <c r="N44" s="160">
        <f t="shared" si="2"/>
        <v>6.3027413199524873E-2</v>
      </c>
      <c r="O44" s="160">
        <f t="shared" si="2"/>
        <v>7.224514085811666E-2</v>
      </c>
      <c r="P44" s="160">
        <f t="shared" si="2"/>
        <v>8.1368685361750209E-2</v>
      </c>
    </row>
    <row r="45" spans="1:16">
      <c r="A45" s="150">
        <v>54</v>
      </c>
      <c r="B45" s="150">
        <v>138591</v>
      </c>
      <c r="C45" s="150">
        <v>191505</v>
      </c>
      <c r="D45" s="150">
        <v>269032</v>
      </c>
      <c r="E45" s="150">
        <v>383198</v>
      </c>
      <c r="F45" s="150">
        <v>551516</v>
      </c>
      <c r="G45" s="150">
        <v>800124</v>
      </c>
      <c r="H45" s="150">
        <v>1168637</v>
      </c>
      <c r="J45" s="160">
        <f t="shared" si="3"/>
        <v>2.5374773318602831E-2</v>
      </c>
      <c r="K45" s="160">
        <f t="shared" si="3"/>
        <v>3.4919918478384347E-2</v>
      </c>
      <c r="L45" s="160">
        <f t="shared" si="3"/>
        <v>4.4416381757622414E-2</v>
      </c>
      <c r="M45" s="160">
        <f t="shared" si="3"/>
        <v>5.3844683546172827E-2</v>
      </c>
      <c r="N45" s="160">
        <f t="shared" si="2"/>
        <v>6.317142202752718E-2</v>
      </c>
      <c r="O45" s="160">
        <f t="shared" si="2"/>
        <v>7.2388697936950214E-2</v>
      </c>
      <c r="P45" s="160">
        <f t="shared" si="2"/>
        <v>8.1512472102123854E-2</v>
      </c>
    </row>
    <row r="46" spans="1:16">
      <c r="A46" s="150">
        <v>55</v>
      </c>
      <c r="B46" s="150">
        <v>143927</v>
      </c>
      <c r="C46" s="150">
        <v>200348</v>
      </c>
      <c r="D46" s="150">
        <v>283813</v>
      </c>
      <c r="E46" s="150">
        <v>407788</v>
      </c>
      <c r="F46" s="150">
        <v>591907</v>
      </c>
      <c r="G46" s="150">
        <v>866194</v>
      </c>
      <c r="H46" s="150">
        <v>1276281</v>
      </c>
      <c r="J46" s="160">
        <f t="shared" si="3"/>
        <v>2.54916636848481E-2</v>
      </c>
      <c r="K46" s="160">
        <f t="shared" si="3"/>
        <v>3.5036077267847222E-2</v>
      </c>
      <c r="L46" s="160">
        <f t="shared" si="3"/>
        <v>4.4544400488159878E-2</v>
      </c>
      <c r="M46" s="160">
        <f t="shared" si="3"/>
        <v>5.3983294012904755E-2</v>
      </c>
      <c r="N46" s="160">
        <f t="shared" si="2"/>
        <v>6.3308468502779866E-2</v>
      </c>
      <c r="O46" s="160">
        <f t="shared" si="2"/>
        <v>7.2525382974277242E-2</v>
      </c>
      <c r="P46" s="160">
        <f t="shared" si="2"/>
        <v>8.1649510660508809E-2</v>
      </c>
    </row>
    <row r="47" spans="1:16">
      <c r="A47" s="150">
        <v>56</v>
      </c>
      <c r="B47" s="150">
        <v>149422</v>
      </c>
      <c r="C47" s="150">
        <v>209650</v>
      </c>
      <c r="D47" s="150">
        <v>299343</v>
      </c>
      <c r="E47" s="150">
        <v>433885</v>
      </c>
      <c r="F47" s="150">
        <v>635177</v>
      </c>
      <c r="G47" s="150">
        <v>937635</v>
      </c>
      <c r="H47" s="150">
        <v>1393754</v>
      </c>
      <c r="J47" s="160">
        <f t="shared" si="3"/>
        <v>2.5602728223115052E-2</v>
      </c>
      <c r="K47" s="160">
        <f t="shared" si="3"/>
        <v>3.516051185774384E-2</v>
      </c>
      <c r="L47" s="160">
        <f t="shared" si="3"/>
        <v>4.4666620005942057E-2</v>
      </c>
      <c r="M47" s="160">
        <f t="shared" si="3"/>
        <v>5.4115824985699869E-2</v>
      </c>
      <c r="N47" s="160">
        <f t="shared" si="2"/>
        <v>6.3439613393386385E-2</v>
      </c>
      <c r="O47" s="160">
        <f t="shared" si="2"/>
        <v>7.2656313244863394E-2</v>
      </c>
      <c r="P47" s="160">
        <f t="shared" si="2"/>
        <v>8.1780912725295932E-2</v>
      </c>
    </row>
    <row r="48" spans="1:16">
      <c r="A48" s="150">
        <v>57</v>
      </c>
      <c r="B48" s="150">
        <v>155083</v>
      </c>
      <c r="C48" s="150">
        <v>219330</v>
      </c>
      <c r="D48" s="150">
        <v>315803</v>
      </c>
      <c r="E48" s="150">
        <v>461575</v>
      </c>
      <c r="F48" s="150">
        <v>681522</v>
      </c>
      <c r="G48" s="150">
        <v>1014868</v>
      </c>
      <c r="H48" s="150">
        <v>1521926</v>
      </c>
      <c r="J48" s="160">
        <f t="shared" si="3"/>
        <v>2.5708778505497153E-2</v>
      </c>
      <c r="K48" s="160">
        <f t="shared" si="3"/>
        <v>3.5279269727664909E-2</v>
      </c>
      <c r="L48" s="160">
        <f t="shared" si="3"/>
        <v>4.4794941745526021E-2</v>
      </c>
      <c r="M48" s="160">
        <f t="shared" si="3"/>
        <v>5.4242314498042947E-2</v>
      </c>
      <c r="N48" s="160">
        <f t="shared" si="2"/>
        <v>6.3564895443335739E-2</v>
      </c>
      <c r="O48" s="160">
        <f t="shared" si="2"/>
        <v>7.278147650386374E-2</v>
      </c>
      <c r="P48" s="160">
        <f t="shared" si="2"/>
        <v>8.1906598495289626E-2</v>
      </c>
    </row>
    <row r="49" spans="1:16">
      <c r="A49" s="150">
        <v>58</v>
      </c>
      <c r="B49" s="150">
        <v>160912</v>
      </c>
      <c r="C49" s="150">
        <v>229399</v>
      </c>
      <c r="D49" s="150">
        <v>333113</v>
      </c>
      <c r="E49" s="150">
        <v>490953</v>
      </c>
      <c r="F49" s="150">
        <v>731157</v>
      </c>
      <c r="G49" s="150">
        <v>1098357</v>
      </c>
      <c r="H49" s="150">
        <v>1661767</v>
      </c>
      <c r="J49" s="160">
        <f t="shared" si="3"/>
        <v>2.5809607466339698E-2</v>
      </c>
      <c r="K49" s="160">
        <f t="shared" si="3"/>
        <v>3.5392212721479889E-2</v>
      </c>
      <c r="L49" s="160">
        <f t="shared" si="3"/>
        <v>4.4918233328870363E-2</v>
      </c>
      <c r="M49" s="160">
        <f t="shared" si="3"/>
        <v>5.4363041397365142E-2</v>
      </c>
      <c r="N49" s="160">
        <f t="shared" si="2"/>
        <v>6.3684575521472969E-2</v>
      </c>
      <c r="O49" s="160">
        <f t="shared" si="2"/>
        <v>7.2901122437173879E-2</v>
      </c>
      <c r="P49" s="160">
        <f t="shared" si="2"/>
        <v>8.2026868191518804E-2</v>
      </c>
    </row>
    <row r="50" spans="1:16">
      <c r="A50" s="150">
        <v>59</v>
      </c>
      <c r="B50" s="150">
        <v>166914</v>
      </c>
      <c r="C50" s="150">
        <v>239876</v>
      </c>
      <c r="D50" s="150">
        <v>351305</v>
      </c>
      <c r="E50" s="150">
        <v>522122</v>
      </c>
      <c r="F50" s="150">
        <v>784281</v>
      </c>
      <c r="G50" s="150">
        <v>1188610</v>
      </c>
      <c r="H50" s="150">
        <v>1814335</v>
      </c>
      <c r="J50" s="160">
        <f t="shared" si="3"/>
        <v>2.5905565830994248E-2</v>
      </c>
      <c r="K50" s="160">
        <f t="shared" si="3"/>
        <v>3.5500090706486069E-2</v>
      </c>
      <c r="L50" s="160">
        <f t="shared" si="3"/>
        <v>4.5035942999023318E-2</v>
      </c>
      <c r="M50" s="160">
        <f t="shared" si="3"/>
        <v>5.4478380023465472E-2</v>
      </c>
      <c r="N50" s="160">
        <f t="shared" si="2"/>
        <v>6.3798018399877227E-2</v>
      </c>
      <c r="O50" s="160">
        <f t="shared" si="2"/>
        <v>7.3015623865581206E-2</v>
      </c>
      <c r="P50" s="160">
        <f t="shared" si="2"/>
        <v>8.2142008442684683E-2</v>
      </c>
    </row>
    <row r="51" spans="1:16" ht="13.5" thickBot="1">
      <c r="A51" s="150">
        <v>60</v>
      </c>
      <c r="B51" s="150">
        <v>173096</v>
      </c>
      <c r="C51" s="150">
        <v>250775</v>
      </c>
      <c r="D51" s="150">
        <v>370423</v>
      </c>
      <c r="E51" s="150">
        <v>555189</v>
      </c>
      <c r="F51" s="150">
        <v>841207</v>
      </c>
      <c r="G51" s="150">
        <v>1286167</v>
      </c>
      <c r="H51" s="150">
        <v>1980780</v>
      </c>
      <c r="J51" s="160">
        <f t="shared" si="3"/>
        <v>2.5997261202260376E-2</v>
      </c>
      <c r="K51" s="160">
        <f t="shared" si="3"/>
        <v>3.5602965429427695E-2</v>
      </c>
      <c r="L51" s="160">
        <f t="shared" si="3"/>
        <v>4.5148363214485648E-2</v>
      </c>
      <c r="M51" s="160">
        <f t="shared" si="3"/>
        <v>5.4588579787911595E-2</v>
      </c>
      <c r="N51" s="160">
        <f t="shared" si="2"/>
        <v>6.3907458306340259E-2</v>
      </c>
      <c r="O51" s="160">
        <f t="shared" si="2"/>
        <v>7.3125166006381942E-2</v>
      </c>
      <c r="P51" s="160">
        <f t="shared" si="2"/>
        <v>8.2252250132009125E-2</v>
      </c>
    </row>
    <row r="52" spans="1:16" s="153" customFormat="1">
      <c r="I52" s="162" t="s">
        <v>0</v>
      </c>
    </row>
    <row r="53" spans="1:16" s="153" customFormat="1" ht="13.5" thickBot="1">
      <c r="I53" s="163">
        <f>SUM(J53:P53)</f>
        <v>3.9113064282513266E-2</v>
      </c>
      <c r="J53" s="160">
        <f>IF(Hilfe!$E$3='FSX (Einzel)'!J2,VLOOKUP(Hilfe!$B$54,$A$3:$P$51,10),0)</f>
        <v>0</v>
      </c>
      <c r="K53" s="160">
        <f>IF(Hilfe!$E$3='FSX (Einzel)'!K2,VLOOKUP(Hilfe!$B$54,$A$3:$P$51,11),0)</f>
        <v>0</v>
      </c>
      <c r="L53" s="160">
        <f>IF(Hilfe!$E$3='FSX (Einzel)'!L2,VLOOKUP(Hilfe!$B$54,$A$3:$P$51,12),0)</f>
        <v>0</v>
      </c>
      <c r="M53" s="160">
        <f>IF(Hilfe!$E$3='FSX (Einzel)'!M2,VLOOKUP(Hilfe!$B$54,$A$3:$P$51,13),0)</f>
        <v>3.9113064282513266E-2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P53"/>
  <sheetViews>
    <sheetView topLeftCell="A28" workbookViewId="0">
      <selection activeCell="A52" sqref="A52:XFD53"/>
    </sheetView>
  </sheetViews>
  <sheetFormatPr baseColWidth="10" defaultColWidth="11.42578125" defaultRowHeight="12.75"/>
  <cols>
    <col min="1" max="1" width="10.140625" style="150" customWidth="1"/>
    <col min="2" max="9" width="11.42578125" style="150"/>
    <col min="10" max="16" width="11.42578125" style="153"/>
    <col min="17" max="16384" width="11.42578125" style="150"/>
  </cols>
  <sheetData>
    <row r="1" spans="1:16" ht="15">
      <c r="A1" s="150" t="s">
        <v>14</v>
      </c>
      <c r="B1" s="152" t="s">
        <v>125</v>
      </c>
      <c r="C1" s="152"/>
      <c r="D1" s="152"/>
      <c r="E1" s="152"/>
      <c r="F1" s="152"/>
      <c r="G1" s="152"/>
      <c r="H1" s="152"/>
      <c r="I1" s="157"/>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0">
        <v>15289</v>
      </c>
      <c r="C3" s="150">
        <v>16264</v>
      </c>
      <c r="D3" s="150">
        <v>17309</v>
      </c>
      <c r="E3" s="150">
        <v>18431</v>
      </c>
      <c r="F3" s="150">
        <v>19634</v>
      </c>
      <c r="G3" s="150">
        <v>20922</v>
      </c>
      <c r="H3" s="150">
        <v>22307</v>
      </c>
      <c r="J3" s="160">
        <f>RATE($A$3*12,-100,0,B3)*12</f>
        <v>9.9584203129309511E-3</v>
      </c>
      <c r="K3" s="160">
        <f t="shared" ref="K3:P3" si="0">RATE($A3*12,-100,0,C3)*12</f>
        <v>2.0042608685204955E-2</v>
      </c>
      <c r="L3" s="160">
        <f t="shared" si="0"/>
        <v>3.0014437474442084E-2</v>
      </c>
      <c r="M3" s="160">
        <f t="shared" si="0"/>
        <v>3.9893889581144135E-2</v>
      </c>
      <c r="N3" s="160">
        <f t="shared" si="0"/>
        <v>4.9669579968415478E-2</v>
      </c>
      <c r="O3" s="160">
        <f t="shared" si="0"/>
        <v>5.933127496379751E-2</v>
      </c>
      <c r="P3" s="160">
        <f t="shared" si="0"/>
        <v>6.8923269379226826E-2</v>
      </c>
    </row>
    <row r="4" spans="1:16">
      <c r="A4" s="150">
        <v>13</v>
      </c>
      <c r="B4" s="150">
        <v>16735</v>
      </c>
      <c r="C4" s="150">
        <v>17898</v>
      </c>
      <c r="D4" s="150">
        <v>19154</v>
      </c>
      <c r="E4" s="150">
        <v>20510</v>
      </c>
      <c r="F4" s="150">
        <v>21975</v>
      </c>
      <c r="G4" s="150">
        <v>23556</v>
      </c>
      <c r="H4" s="150">
        <v>25265</v>
      </c>
      <c r="J4" s="160">
        <f t="shared" ref="J4:P40" si="1">RATE($A4*12,-100,0,B4)*12</f>
        <v>1.0753415868527624E-2</v>
      </c>
      <c r="K4" s="160">
        <f t="shared" si="1"/>
        <v>2.0824002112094512E-2</v>
      </c>
      <c r="L4" s="160">
        <f t="shared" si="1"/>
        <v>3.0789095815396985E-2</v>
      </c>
      <c r="M4" s="160">
        <f t="shared" si="1"/>
        <v>4.0647830852744343E-2</v>
      </c>
      <c r="N4" s="160">
        <f t="shared" si="1"/>
        <v>5.0409507874001697E-2</v>
      </c>
      <c r="O4" s="160">
        <f t="shared" si="1"/>
        <v>6.0065927278738579E-2</v>
      </c>
      <c r="P4" s="160">
        <f t="shared" si="1"/>
        <v>6.9635500093220032E-2</v>
      </c>
    </row>
    <row r="5" spans="1:16">
      <c r="A5" s="150">
        <v>14</v>
      </c>
      <c r="B5" s="150">
        <v>18209</v>
      </c>
      <c r="C5" s="150">
        <v>19581</v>
      </c>
      <c r="D5" s="150">
        <v>21072</v>
      </c>
      <c r="E5" s="150">
        <v>22693</v>
      </c>
      <c r="F5" s="150">
        <v>24456</v>
      </c>
      <c r="G5" s="150">
        <v>26373</v>
      </c>
      <c r="H5" s="150">
        <v>28459</v>
      </c>
      <c r="J5" s="160">
        <f t="shared" si="1"/>
        <v>1.1426573530194802E-2</v>
      </c>
      <c r="K5" s="160">
        <f t="shared" si="1"/>
        <v>2.1492487999736534E-2</v>
      </c>
      <c r="L5" s="160">
        <f t="shared" si="1"/>
        <v>3.1445922571333634E-2</v>
      </c>
      <c r="M5" s="160">
        <f t="shared" si="1"/>
        <v>4.1293248215905388E-2</v>
      </c>
      <c r="N5" s="160">
        <f t="shared" si="1"/>
        <v>5.1040208830241809E-2</v>
      </c>
      <c r="O5" s="160">
        <f t="shared" si="1"/>
        <v>6.068676526478483E-2</v>
      </c>
      <c r="P5" s="160">
        <f t="shared" si="1"/>
        <v>7.0242197353852384E-2</v>
      </c>
    </row>
    <row r="6" spans="1:16">
      <c r="A6" s="150">
        <v>15</v>
      </c>
      <c r="B6" s="150">
        <v>19712</v>
      </c>
      <c r="C6" s="150">
        <v>21313</v>
      </c>
      <c r="D6" s="150">
        <v>23065</v>
      </c>
      <c r="E6" s="150">
        <v>24984</v>
      </c>
      <c r="F6" s="150">
        <v>27087</v>
      </c>
      <c r="G6" s="150">
        <v>29388</v>
      </c>
      <c r="H6" s="150">
        <v>31909</v>
      </c>
      <c r="J6" s="160">
        <f t="shared" si="1"/>
        <v>1.2006814378604385E-2</v>
      </c>
      <c r="K6" s="160">
        <f t="shared" si="1"/>
        <v>2.2062041682041619E-2</v>
      </c>
      <c r="L6" s="160">
        <f t="shared" si="1"/>
        <v>3.2004935443319282E-2</v>
      </c>
      <c r="M6" s="160">
        <f t="shared" si="1"/>
        <v>4.18459604344101E-2</v>
      </c>
      <c r="N6" s="160">
        <f t="shared" si="1"/>
        <v>5.1591142043492466E-2</v>
      </c>
      <c r="O6" s="160">
        <f t="shared" si="1"/>
        <v>6.1227083175544539E-2</v>
      </c>
      <c r="P6" s="160">
        <f t="shared" si="1"/>
        <v>7.0769056829800947E-2</v>
      </c>
    </row>
    <row r="7" spans="1:16">
      <c r="A7" s="150">
        <v>16</v>
      </c>
      <c r="B7" s="150">
        <v>21244</v>
      </c>
      <c r="C7" s="150">
        <v>23096</v>
      </c>
      <c r="D7" s="150">
        <v>25139</v>
      </c>
      <c r="E7" s="150">
        <v>27390</v>
      </c>
      <c r="F7" s="150">
        <v>29872</v>
      </c>
      <c r="G7" s="150">
        <v>32613</v>
      </c>
      <c r="H7" s="150">
        <v>35635</v>
      </c>
      <c r="J7" s="160">
        <f t="shared" si="1"/>
        <v>1.2508824017852836E-2</v>
      </c>
      <c r="K7" s="160">
        <f t="shared" si="1"/>
        <v>2.255585350014842E-2</v>
      </c>
      <c r="L7" s="160">
        <f t="shared" si="1"/>
        <v>3.2500365328471024E-2</v>
      </c>
      <c r="M7" s="160">
        <f t="shared" si="1"/>
        <v>4.2331261615365656E-2</v>
      </c>
      <c r="N7" s="160">
        <f t="shared" si="1"/>
        <v>5.2057442398596651E-2</v>
      </c>
      <c r="O7" s="160">
        <f t="shared" si="1"/>
        <v>6.1694908072493282E-2</v>
      </c>
      <c r="P7" s="160">
        <f t="shared" si="1"/>
        <v>7.1228977896453577E-2</v>
      </c>
    </row>
    <row r="8" spans="1:16">
      <c r="A8" s="150">
        <v>17</v>
      </c>
      <c r="B8" s="150">
        <v>22807</v>
      </c>
      <c r="C8" s="150">
        <v>24932</v>
      </c>
      <c r="D8" s="158">
        <v>27293</v>
      </c>
      <c r="E8" s="150">
        <v>29914</v>
      </c>
      <c r="F8" s="158">
        <v>32828</v>
      </c>
      <c r="G8" s="150">
        <v>36065</v>
      </c>
      <c r="H8" s="150">
        <v>39660</v>
      </c>
      <c r="J8" s="160">
        <f t="shared" si="1"/>
        <v>1.2954551295293864E-2</v>
      </c>
      <c r="K8" s="160">
        <f t="shared" si="1"/>
        <v>2.2990227148693813E-2</v>
      </c>
      <c r="L8" s="160">
        <f t="shared" si="1"/>
        <v>3.2925219090598021E-2</v>
      </c>
      <c r="M8" s="160">
        <f t="shared" si="1"/>
        <v>4.2750811347723419E-2</v>
      </c>
      <c r="N8" s="160">
        <f t="shared" si="1"/>
        <v>5.2481806980862689E-2</v>
      </c>
      <c r="O8" s="160">
        <f t="shared" si="1"/>
        <v>6.2110341834176998E-2</v>
      </c>
      <c r="P8" s="160">
        <f t="shared" si="1"/>
        <v>7.1635988791257557E-2</v>
      </c>
    </row>
    <row r="9" spans="1:16">
      <c r="A9" s="150">
        <v>18</v>
      </c>
      <c r="B9" s="150">
        <v>24399</v>
      </c>
      <c r="C9" s="150">
        <v>26824</v>
      </c>
      <c r="D9" s="158">
        <v>29534</v>
      </c>
      <c r="E9" s="150">
        <v>32567</v>
      </c>
      <c r="F9" s="158">
        <v>35960</v>
      </c>
      <c r="G9" s="150">
        <v>39758</v>
      </c>
      <c r="H9" s="150">
        <v>44008</v>
      </c>
      <c r="J9" s="160">
        <f t="shared" si="1"/>
        <v>1.3341344185688234E-2</v>
      </c>
      <c r="K9" s="160">
        <f t="shared" si="1"/>
        <v>2.3380787022014911E-2</v>
      </c>
      <c r="L9" s="160">
        <f t="shared" si="1"/>
        <v>3.330667101158246E-2</v>
      </c>
      <c r="M9" s="160">
        <f t="shared" si="1"/>
        <v>4.3132764486836853E-2</v>
      </c>
      <c r="N9" s="160">
        <f t="shared" si="1"/>
        <v>5.2854116298748907E-2</v>
      </c>
      <c r="O9" s="160">
        <f t="shared" si="1"/>
        <v>6.247675645408219E-2</v>
      </c>
      <c r="P9" s="160">
        <f t="shared" si="1"/>
        <v>7.1998472750739145E-2</v>
      </c>
    </row>
    <row r="10" spans="1:16">
      <c r="A10" s="150">
        <v>19</v>
      </c>
      <c r="B10" s="150">
        <v>26023</v>
      </c>
      <c r="C10" s="150">
        <v>28772</v>
      </c>
      <c r="D10" s="158">
        <v>31865</v>
      </c>
      <c r="E10" s="150">
        <v>35351</v>
      </c>
      <c r="F10" s="158">
        <v>39280</v>
      </c>
      <c r="G10" s="150">
        <v>43707</v>
      </c>
      <c r="H10" s="150">
        <v>48701</v>
      </c>
      <c r="J10" s="160">
        <f t="shared" si="1"/>
        <v>1.368951792168583E-2</v>
      </c>
      <c r="K10" s="160">
        <f t="shared" si="1"/>
        <v>2.3727882244524295E-2</v>
      </c>
      <c r="L10" s="160">
        <f t="shared" si="1"/>
        <v>3.3649373098884258E-2</v>
      </c>
      <c r="M10" s="160">
        <f t="shared" si="1"/>
        <v>4.3469423547939007E-2</v>
      </c>
      <c r="N10" s="160">
        <f t="shared" si="1"/>
        <v>5.3186753753515552E-2</v>
      </c>
      <c r="O10" s="160">
        <f t="shared" si="1"/>
        <v>6.2798459847934154E-2</v>
      </c>
      <c r="P10" s="160">
        <f t="shared" si="1"/>
        <v>7.2316128182324732E-2</v>
      </c>
    </row>
    <row r="11" spans="1:16">
      <c r="A11" s="150">
        <v>20</v>
      </c>
      <c r="B11" s="150">
        <v>27679</v>
      </c>
      <c r="C11" s="150">
        <v>30778</v>
      </c>
      <c r="D11" s="158">
        <v>34290</v>
      </c>
      <c r="E11" s="150">
        <v>38275</v>
      </c>
      <c r="F11" s="158">
        <v>42800</v>
      </c>
      <c r="G11" s="150">
        <v>47937</v>
      </c>
      <c r="H11" s="150">
        <v>53791</v>
      </c>
      <c r="J11" s="160">
        <f t="shared" si="1"/>
        <v>1.400231393846507E-2</v>
      </c>
      <c r="K11" s="160">
        <f t="shared" si="1"/>
        <v>2.4039373743190214E-2</v>
      </c>
      <c r="L11" s="160">
        <f t="shared" si="1"/>
        <v>3.3959885880224187E-2</v>
      </c>
      <c r="M11" s="160">
        <f t="shared" si="1"/>
        <v>4.3774076279254455E-2</v>
      </c>
      <c r="N11" s="160">
        <f t="shared" si="1"/>
        <v>5.3487053775057705E-2</v>
      </c>
      <c r="O11" s="160">
        <f t="shared" si="1"/>
        <v>6.3095629059468999E-2</v>
      </c>
      <c r="P11" s="160">
        <f t="shared" si="1"/>
        <v>7.2634022646195812E-2</v>
      </c>
    </row>
    <row r="12" spans="1:16">
      <c r="A12" s="150">
        <v>21</v>
      </c>
      <c r="B12" s="150">
        <v>29367</v>
      </c>
      <c r="C12" s="150">
        <v>32841</v>
      </c>
      <c r="D12" s="158">
        <v>36811</v>
      </c>
      <c r="E12" s="150">
        <v>41346</v>
      </c>
      <c r="F12" s="158">
        <v>46529</v>
      </c>
      <c r="G12" s="150">
        <v>52473</v>
      </c>
      <c r="H12" s="150">
        <v>59297</v>
      </c>
      <c r="J12" s="160">
        <f t="shared" si="1"/>
        <v>1.4282889959888783E-2</v>
      </c>
      <c r="K12" s="160">
        <f t="shared" si="1"/>
        <v>2.4313105881837029E-2</v>
      </c>
      <c r="L12" s="160">
        <f t="shared" si="1"/>
        <v>3.4238290000771721E-2</v>
      </c>
      <c r="M12" s="160">
        <f t="shared" si="1"/>
        <v>4.4050894473663248E-2</v>
      </c>
      <c r="N12" s="160">
        <f t="shared" si="1"/>
        <v>5.3754079715762682E-2</v>
      </c>
      <c r="O12" s="160">
        <f t="shared" si="1"/>
        <v>6.3378045582304685E-2</v>
      </c>
      <c r="P12" s="160">
        <f t="shared" si="1"/>
        <v>7.2928207357578947E-2</v>
      </c>
    </row>
    <row r="13" spans="1:16">
      <c r="A13" s="150">
        <v>22</v>
      </c>
      <c r="B13" s="150">
        <v>31087</v>
      </c>
      <c r="C13" s="150">
        <v>34969</v>
      </c>
      <c r="D13" s="158">
        <v>39431</v>
      </c>
      <c r="E13" s="150">
        <v>44570</v>
      </c>
      <c r="F13" s="158">
        <v>50487</v>
      </c>
      <c r="G13" s="150">
        <v>57345</v>
      </c>
      <c r="H13" s="150">
        <v>65252</v>
      </c>
      <c r="J13" s="160">
        <f t="shared" si="1"/>
        <v>1.4534221295033841E-2</v>
      </c>
      <c r="K13" s="160">
        <f t="shared" si="1"/>
        <v>2.4570594672162611E-2</v>
      </c>
      <c r="L13" s="160">
        <f t="shared" si="1"/>
        <v>3.4487605590333557E-2</v>
      </c>
      <c r="M13" s="160">
        <f t="shared" si="1"/>
        <v>4.430097489953664E-2</v>
      </c>
      <c r="N13" s="160">
        <f t="shared" si="1"/>
        <v>5.400447282828609E-2</v>
      </c>
      <c r="O13" s="160">
        <f t="shared" si="1"/>
        <v>6.3655932779239657E-2</v>
      </c>
      <c r="P13" s="160">
        <f t="shared" si="1"/>
        <v>7.3199673345237068E-2</v>
      </c>
    </row>
    <row r="14" spans="1:16">
      <c r="A14" s="150">
        <v>23</v>
      </c>
      <c r="B14" s="150">
        <v>32842</v>
      </c>
      <c r="C14" s="150">
        <v>37159</v>
      </c>
      <c r="D14" s="158">
        <v>42158</v>
      </c>
      <c r="E14" s="150">
        <v>47952</v>
      </c>
      <c r="F14" s="158">
        <v>54707</v>
      </c>
      <c r="G14" s="150">
        <v>62562</v>
      </c>
      <c r="H14" s="150">
        <v>71685</v>
      </c>
      <c r="J14" s="160">
        <f t="shared" si="1"/>
        <v>1.4766611316935657E-2</v>
      </c>
      <c r="K14" s="160">
        <f t="shared" si="1"/>
        <v>2.4801985020672591E-2</v>
      </c>
      <c r="L14" s="160">
        <f t="shared" si="1"/>
        <v>3.4719616464190826E-2</v>
      </c>
      <c r="M14" s="160">
        <f t="shared" si="1"/>
        <v>4.4523844866158631E-2</v>
      </c>
      <c r="N14" s="160">
        <f t="shared" si="1"/>
        <v>5.4264517438920967E-2</v>
      </c>
      <c r="O14" s="160">
        <f t="shared" si="1"/>
        <v>6.3908870170511167E-2</v>
      </c>
      <c r="P14" s="160">
        <f t="shared" si="1"/>
        <v>7.344331361723512E-2</v>
      </c>
    </row>
    <row r="15" spans="1:16">
      <c r="A15" s="150">
        <v>24</v>
      </c>
      <c r="B15" s="150">
        <v>34632</v>
      </c>
      <c r="C15" s="150">
        <v>39415</v>
      </c>
      <c r="D15" s="158">
        <v>44993</v>
      </c>
      <c r="E15" s="150">
        <v>51517</v>
      </c>
      <c r="F15" s="158">
        <v>59183</v>
      </c>
      <c r="G15" s="150">
        <v>68151</v>
      </c>
      <c r="H15" s="150">
        <v>78642</v>
      </c>
      <c r="J15" s="160">
        <f t="shared" si="1"/>
        <v>1.4980438607860337E-2</v>
      </c>
      <c r="K15" s="160">
        <f t="shared" si="1"/>
        <v>2.5015213578503299E-2</v>
      </c>
      <c r="L15" s="160">
        <f t="shared" si="1"/>
        <v>3.4930381605381901E-2</v>
      </c>
      <c r="M15" s="160">
        <f t="shared" si="1"/>
        <v>4.4747461750780877E-2</v>
      </c>
      <c r="N15" s="160">
        <f t="shared" si="1"/>
        <v>5.4501617060838829E-2</v>
      </c>
      <c r="O15" s="160">
        <f t="shared" si="1"/>
        <v>6.4142506487411599E-2</v>
      </c>
      <c r="P15" s="160">
        <f t="shared" si="1"/>
        <v>7.3669426973272861E-2</v>
      </c>
    </row>
    <row r="16" spans="1:16">
      <c r="A16" s="150">
        <v>25</v>
      </c>
      <c r="B16" s="150">
        <v>36457</v>
      </c>
      <c r="C16" s="150">
        <v>41738</v>
      </c>
      <c r="D16" s="158">
        <v>47943</v>
      </c>
      <c r="E16" s="150">
        <v>55279</v>
      </c>
      <c r="F16" s="158">
        <v>63934</v>
      </c>
      <c r="G16" s="150">
        <v>74128</v>
      </c>
      <c r="H16" s="150">
        <v>86162</v>
      </c>
      <c r="J16" s="160">
        <f t="shared" si="1"/>
        <v>1.5176378679062675E-2</v>
      </c>
      <c r="K16" s="160">
        <f t="shared" si="1"/>
        <v>2.521057828348152E-2</v>
      </c>
      <c r="L16" s="160">
        <f t="shared" si="1"/>
        <v>3.5126637383464845E-2</v>
      </c>
      <c r="M16" s="160">
        <f t="shared" si="1"/>
        <v>4.4974397038095359E-2</v>
      </c>
      <c r="N16" s="160">
        <f t="shared" si="1"/>
        <v>5.4722183993594783E-2</v>
      </c>
      <c r="O16" s="160">
        <f t="shared" si="1"/>
        <v>6.4349709802269242E-2</v>
      </c>
      <c r="P16" s="160">
        <f t="shared" si="1"/>
        <v>7.3876951368904292E-2</v>
      </c>
    </row>
    <row r="17" spans="1:16">
      <c r="A17" s="150">
        <v>26</v>
      </c>
      <c r="B17" s="150">
        <v>38318</v>
      </c>
      <c r="C17" s="150">
        <v>44129</v>
      </c>
      <c r="D17" s="158">
        <v>51017</v>
      </c>
      <c r="E17" s="150">
        <v>59232</v>
      </c>
      <c r="F17" s="158">
        <v>68971</v>
      </c>
      <c r="G17" s="150">
        <v>80535</v>
      </c>
      <c r="H17" s="150">
        <v>94284</v>
      </c>
      <c r="J17" s="160">
        <f t="shared" si="1"/>
        <v>1.5357170407379906E-2</v>
      </c>
      <c r="K17" s="160">
        <f t="shared" si="1"/>
        <v>2.5388648029039604E-2</v>
      </c>
      <c r="L17" s="160">
        <f t="shared" si="1"/>
        <v>3.5315462569554507E-2</v>
      </c>
      <c r="M17" s="160">
        <f t="shared" si="1"/>
        <v>4.5183219034990396E-2</v>
      </c>
      <c r="N17" s="160">
        <f t="shared" si="1"/>
        <v>5.4922364503640658E-2</v>
      </c>
      <c r="O17" s="160">
        <f t="shared" si="1"/>
        <v>6.4545870842926095E-2</v>
      </c>
      <c r="P17" s="160">
        <f t="shared" si="1"/>
        <v>7.4063837022895249E-2</v>
      </c>
    </row>
    <row r="18" spans="1:16">
      <c r="A18" s="150">
        <v>27</v>
      </c>
      <c r="B18" s="150">
        <v>40215</v>
      </c>
      <c r="C18" s="150">
        <v>46595</v>
      </c>
      <c r="D18" s="158">
        <v>54233</v>
      </c>
      <c r="E18" s="150">
        <v>63383</v>
      </c>
      <c r="F18" s="158">
        <v>74312</v>
      </c>
      <c r="G18" s="150">
        <v>87396</v>
      </c>
      <c r="H18" s="150">
        <v>103076</v>
      </c>
      <c r="J18" s="160">
        <f t="shared" si="1"/>
        <v>1.5523267936473226E-2</v>
      </c>
      <c r="K18" s="160">
        <f t="shared" si="1"/>
        <v>2.5558761481272653E-2</v>
      </c>
      <c r="L18" s="160">
        <f t="shared" si="1"/>
        <v>3.5511975411303395E-2</v>
      </c>
      <c r="M18" s="160">
        <f t="shared" si="1"/>
        <v>4.5373314872431944E-2</v>
      </c>
      <c r="N18" s="160">
        <f t="shared" si="1"/>
        <v>5.5105396983296237E-2</v>
      </c>
      <c r="O18" s="160">
        <f t="shared" si="1"/>
        <v>6.4726893917672043E-2</v>
      </c>
      <c r="P18" s="160">
        <f t="shared" si="1"/>
        <v>7.4243808705276471E-2</v>
      </c>
    </row>
    <row r="19" spans="1:16">
      <c r="A19" s="150">
        <v>28</v>
      </c>
      <c r="B19" s="150">
        <v>42150</v>
      </c>
      <c r="C19" s="150">
        <v>49134</v>
      </c>
      <c r="D19" s="158">
        <v>57580</v>
      </c>
      <c r="E19" s="150">
        <v>67745</v>
      </c>
      <c r="F19" s="158">
        <v>79984</v>
      </c>
      <c r="G19" s="150">
        <v>94745</v>
      </c>
      <c r="H19" s="150">
        <v>112628</v>
      </c>
      <c r="J19" s="160">
        <f t="shared" si="1"/>
        <v>1.5678442122426584E-2</v>
      </c>
      <c r="K19" s="160">
        <f t="shared" si="1"/>
        <v>2.5715516243670994E-2</v>
      </c>
      <c r="L19" s="160">
        <f t="shared" si="1"/>
        <v>3.5694216722575341E-2</v>
      </c>
      <c r="M19" s="160">
        <f t="shared" si="1"/>
        <v>4.5549719717565183E-2</v>
      </c>
      <c r="N19" s="160">
        <f t="shared" si="1"/>
        <v>5.5279561420407401E-2</v>
      </c>
      <c r="O19" s="160">
        <f t="shared" si="1"/>
        <v>6.4895475109640985E-2</v>
      </c>
      <c r="P19" s="160">
        <f t="shared" si="1"/>
        <v>7.4433449162086662E-2</v>
      </c>
    </row>
    <row r="20" spans="1:16">
      <c r="A20" s="150">
        <v>29</v>
      </c>
      <c r="B20" s="150">
        <v>44124</v>
      </c>
      <c r="C20" s="150">
        <v>51764</v>
      </c>
      <c r="D20" s="158">
        <v>61065</v>
      </c>
      <c r="E20" s="150">
        <v>72328</v>
      </c>
      <c r="F20" s="158">
        <v>85997</v>
      </c>
      <c r="G20" s="150">
        <v>102624</v>
      </c>
      <c r="H20" s="150">
        <v>122949</v>
      </c>
      <c r="J20" s="160">
        <f t="shared" si="1"/>
        <v>1.582406768835622E-2</v>
      </c>
      <c r="K20" s="160">
        <f t="shared" si="1"/>
        <v>2.5879273181841071E-2</v>
      </c>
      <c r="L20" s="160">
        <f t="shared" si="1"/>
        <v>3.5865269354915637E-2</v>
      </c>
      <c r="M20" s="160">
        <f t="shared" si="1"/>
        <v>4.5713243132969539E-2</v>
      </c>
      <c r="N20" s="160">
        <f t="shared" si="1"/>
        <v>5.5438488692570717E-2</v>
      </c>
      <c r="O20" s="160">
        <f t="shared" si="1"/>
        <v>6.5056580221038454E-2</v>
      </c>
      <c r="P20" s="160">
        <f t="shared" si="1"/>
        <v>7.4604991703515366E-2</v>
      </c>
    </row>
    <row r="21" spans="1:16">
      <c r="A21" s="150">
        <v>30</v>
      </c>
      <c r="B21" s="150">
        <v>46136</v>
      </c>
      <c r="C21" s="150">
        <v>54483</v>
      </c>
      <c r="D21" s="158">
        <v>64691</v>
      </c>
      <c r="E21" s="150">
        <v>77148</v>
      </c>
      <c r="F21" s="158">
        <v>92381</v>
      </c>
      <c r="G21" s="150">
        <v>111108</v>
      </c>
      <c r="H21" s="150">
        <v>134117</v>
      </c>
      <c r="J21" s="160">
        <f t="shared" si="1"/>
        <v>1.5958578443568079E-2</v>
      </c>
      <c r="K21" s="160">
        <f t="shared" si="1"/>
        <v>2.6041871080399504E-2</v>
      </c>
      <c r="L21" s="160">
        <f t="shared" si="1"/>
        <v>3.6023710020861036E-2</v>
      </c>
      <c r="M21" s="160">
        <f t="shared" si="1"/>
        <v>4.5868624677075899E-2</v>
      </c>
      <c r="N21" s="160">
        <f t="shared" si="1"/>
        <v>5.5589460435753815E-2</v>
      </c>
      <c r="O21" s="160">
        <f t="shared" si="1"/>
        <v>6.5227443036194668E-2</v>
      </c>
      <c r="P21" s="160">
        <f t="shared" si="1"/>
        <v>7.4766753891412935E-2</v>
      </c>
    </row>
    <row r="22" spans="1:16">
      <c r="A22" s="150">
        <v>31</v>
      </c>
      <c r="B22" s="150">
        <v>48186</v>
      </c>
      <c r="C22" s="150">
        <v>57285</v>
      </c>
      <c r="D22" s="158">
        <v>68466</v>
      </c>
      <c r="E22" s="150">
        <v>82214</v>
      </c>
      <c r="F22" s="158">
        <v>99153</v>
      </c>
      <c r="G22" s="150">
        <v>120188</v>
      </c>
      <c r="H22" s="150">
        <v>146199</v>
      </c>
      <c r="J22" s="160">
        <f t="shared" si="1"/>
        <v>1.6082270281010953E-2</v>
      </c>
      <c r="K22" s="160">
        <f t="shared" si="1"/>
        <v>2.6193482148753514E-2</v>
      </c>
      <c r="L22" s="160">
        <f t="shared" si="1"/>
        <v>3.6172690835129293E-2</v>
      </c>
      <c r="M22" s="160">
        <f t="shared" si="1"/>
        <v>4.6014237631436368E-2</v>
      </c>
      <c r="N22" s="160">
        <f t="shared" si="1"/>
        <v>5.5729885311459448E-2</v>
      </c>
      <c r="O22" s="160">
        <f t="shared" si="1"/>
        <v>6.5382056379133024E-2</v>
      </c>
      <c r="P22" s="160">
        <f t="shared" si="1"/>
        <v>7.4918585720735606E-2</v>
      </c>
    </row>
    <row r="23" spans="1:16">
      <c r="A23" s="150">
        <v>32</v>
      </c>
      <c r="B23" s="150">
        <v>50282</v>
      </c>
      <c r="C23" s="150">
        <v>60171</v>
      </c>
      <c r="D23" s="158">
        <v>72388</v>
      </c>
      <c r="E23" s="150">
        <v>87531</v>
      </c>
      <c r="F23" s="158">
        <v>106375</v>
      </c>
      <c r="G23" s="150">
        <v>129918</v>
      </c>
      <c r="H23" s="150">
        <v>159268</v>
      </c>
      <c r="J23" s="160">
        <f t="shared" si="1"/>
        <v>1.6204718801753157E-2</v>
      </c>
      <c r="K23" s="160">
        <f t="shared" si="1"/>
        <v>2.6333761609648156E-2</v>
      </c>
      <c r="L23" s="160">
        <f t="shared" si="1"/>
        <v>3.63070694057544E-2</v>
      </c>
      <c r="M23" s="160">
        <f t="shared" si="1"/>
        <v>4.6146548821921471E-2</v>
      </c>
      <c r="N23" s="160">
        <f t="shared" si="1"/>
        <v>5.587851038608195E-2</v>
      </c>
      <c r="O23" s="160">
        <f t="shared" si="1"/>
        <v>6.5526892371718604E-2</v>
      </c>
      <c r="P23" s="160">
        <f t="shared" si="1"/>
        <v>7.5060763674558897E-2</v>
      </c>
    </row>
    <row r="24" spans="1:16">
      <c r="A24" s="150">
        <v>33</v>
      </c>
      <c r="B24" s="150">
        <v>52441</v>
      </c>
      <c r="C24" s="150">
        <v>63151</v>
      </c>
      <c r="D24" s="158">
        <v>76478</v>
      </c>
      <c r="E24" s="150">
        <v>93120</v>
      </c>
      <c r="F24" s="158">
        <v>114047</v>
      </c>
      <c r="G24" s="150">
        <v>140356</v>
      </c>
      <c r="H24" s="150">
        <v>173379</v>
      </c>
      <c r="J24" s="160">
        <f t="shared" si="1"/>
        <v>1.6342464777013298E-2</v>
      </c>
      <c r="K24" s="160">
        <f t="shared" si="1"/>
        <v>2.6470203958819306E-2</v>
      </c>
      <c r="L24" s="160">
        <f t="shared" si="1"/>
        <v>3.643884189063136E-2</v>
      </c>
      <c r="M24" s="160">
        <f t="shared" si="1"/>
        <v>4.6271658708851249E-2</v>
      </c>
      <c r="N24" s="160">
        <f t="shared" si="1"/>
        <v>5.6020477007017913E-2</v>
      </c>
      <c r="O24" s="160">
        <f t="shared" si="1"/>
        <v>6.5666530487924646E-2</v>
      </c>
      <c r="P24" s="160">
        <f t="shared" si="1"/>
        <v>7.5187549581163748E-2</v>
      </c>
    </row>
    <row r="25" spans="1:16">
      <c r="A25" s="150">
        <v>34</v>
      </c>
      <c r="B25" s="150">
        <v>54645</v>
      </c>
      <c r="C25" s="150">
        <v>66217</v>
      </c>
      <c r="D25" s="158">
        <v>80731</v>
      </c>
      <c r="E25" s="150">
        <v>98994</v>
      </c>
      <c r="F25" s="158">
        <v>122201</v>
      </c>
      <c r="G25" s="150">
        <v>151534</v>
      </c>
      <c r="H25" s="150">
        <v>188662</v>
      </c>
      <c r="J25" s="160">
        <f t="shared" si="1"/>
        <v>1.6472675303972052E-2</v>
      </c>
      <c r="K25" s="160">
        <f t="shared" si="1"/>
        <v>2.659412640407427E-2</v>
      </c>
      <c r="L25" s="160">
        <f t="shared" si="1"/>
        <v>3.6560276356434301E-2</v>
      </c>
      <c r="M25" s="160">
        <f t="shared" si="1"/>
        <v>4.6389656467008343E-2</v>
      </c>
      <c r="N25" s="160">
        <f t="shared" si="1"/>
        <v>5.6157567268711794E-2</v>
      </c>
      <c r="O25" s="160">
        <f t="shared" si="1"/>
        <v>6.579532240004389E-2</v>
      </c>
      <c r="P25" s="160">
        <f t="shared" si="1"/>
        <v>7.5311642063083675E-2</v>
      </c>
    </row>
    <row r="26" spans="1:16">
      <c r="A26" s="150">
        <v>35</v>
      </c>
      <c r="B26" s="150">
        <v>56890</v>
      </c>
      <c r="C26" s="150">
        <v>69378</v>
      </c>
      <c r="D26" s="150">
        <v>85161</v>
      </c>
      <c r="E26" s="150">
        <v>105211</v>
      </c>
      <c r="F26" s="150">
        <v>130847</v>
      </c>
      <c r="G26" s="150">
        <v>163511</v>
      </c>
      <c r="H26" s="150">
        <v>205218</v>
      </c>
      <c r="J26" s="160">
        <f t="shared" si="1"/>
        <v>1.6591400101466751E-2</v>
      </c>
      <c r="K26" s="160">
        <f t="shared" si="1"/>
        <v>2.6711665647076312E-2</v>
      </c>
      <c r="L26" s="160">
        <f t="shared" si="1"/>
        <v>3.6676664539780399E-2</v>
      </c>
      <c r="M26" s="160">
        <f t="shared" si="1"/>
        <v>4.6519954596890442E-2</v>
      </c>
      <c r="N26" s="160">
        <f t="shared" si="1"/>
        <v>5.6283000176783865E-2</v>
      </c>
      <c r="O26" s="160">
        <f t="shared" si="1"/>
        <v>6.5916121174989378E-2</v>
      </c>
      <c r="P26" s="160">
        <f t="shared" si="1"/>
        <v>7.5433440373458477E-2</v>
      </c>
    </row>
    <row r="27" spans="1:16">
      <c r="A27" s="150">
        <v>36</v>
      </c>
      <c r="B27" s="150">
        <v>59183</v>
      </c>
      <c r="C27" s="150">
        <v>72636</v>
      </c>
      <c r="D27" s="150">
        <v>89771</v>
      </c>
      <c r="E27" s="150">
        <v>111755</v>
      </c>
      <c r="F27" s="150">
        <v>140033</v>
      </c>
      <c r="G27" s="150">
        <v>176339</v>
      </c>
      <c r="H27" s="150">
        <v>223191</v>
      </c>
      <c r="J27" s="160">
        <f t="shared" si="1"/>
        <v>1.6705277996841211E-2</v>
      </c>
      <c r="K27" s="160">
        <f t="shared" si="1"/>
        <v>2.6822655416858701E-2</v>
      </c>
      <c r="L27" s="160">
        <f t="shared" si="1"/>
        <v>3.6786003230470897E-2</v>
      </c>
      <c r="M27" s="160">
        <f t="shared" si="1"/>
        <v>4.6645624115536466E-2</v>
      </c>
      <c r="N27" s="160">
        <f t="shared" si="1"/>
        <v>5.6403636866702342E-2</v>
      </c>
      <c r="O27" s="160">
        <f t="shared" si="1"/>
        <v>6.6028419870613031E-2</v>
      </c>
      <c r="P27" s="160">
        <f t="shared" si="1"/>
        <v>7.5559355654136823E-2</v>
      </c>
    </row>
    <row r="28" spans="1:16">
      <c r="A28" s="150">
        <v>37</v>
      </c>
      <c r="B28" s="150">
        <v>61525</v>
      </c>
      <c r="C28" s="150">
        <v>75997</v>
      </c>
      <c r="D28" s="150">
        <v>94563</v>
      </c>
      <c r="E28" s="150">
        <v>118638</v>
      </c>
      <c r="F28" s="150">
        <v>149782</v>
      </c>
      <c r="G28" s="150">
        <v>190089</v>
      </c>
      <c r="H28" s="150">
        <v>242649</v>
      </c>
      <c r="J28" s="160">
        <f t="shared" si="1"/>
        <v>1.6814533772746922E-2</v>
      </c>
      <c r="K28" s="160">
        <f t="shared" si="1"/>
        <v>2.6929472929534772E-2</v>
      </c>
      <c r="L28" s="160">
        <f t="shared" si="1"/>
        <v>3.6886395029608027E-2</v>
      </c>
      <c r="M28" s="160">
        <f t="shared" si="1"/>
        <v>4.6764904742900418E-2</v>
      </c>
      <c r="N28" s="160">
        <f t="shared" si="1"/>
        <v>5.6516682127390062E-2</v>
      </c>
      <c r="O28" s="160">
        <f t="shared" si="1"/>
        <v>6.6135244640117233E-2</v>
      </c>
      <c r="P28" s="160">
        <f t="shared" si="1"/>
        <v>7.5679422495979948E-2</v>
      </c>
    </row>
    <row r="29" spans="1:16">
      <c r="A29" s="150">
        <v>38</v>
      </c>
      <c r="B29" s="150">
        <v>63911</v>
      </c>
      <c r="C29" s="150">
        <v>79458</v>
      </c>
      <c r="D29" s="150">
        <v>99559</v>
      </c>
      <c r="E29" s="150">
        <v>125875</v>
      </c>
      <c r="F29" s="150">
        <v>160123</v>
      </c>
      <c r="G29" s="150">
        <v>204853</v>
      </c>
      <c r="H29" s="150">
        <v>263716</v>
      </c>
      <c r="J29" s="160">
        <f t="shared" si="1"/>
        <v>1.6914889348985773E-2</v>
      </c>
      <c r="K29" s="160">
        <f t="shared" si="1"/>
        <v>2.7028725351863792E-2</v>
      </c>
      <c r="L29" s="160">
        <f t="shared" si="1"/>
        <v>3.6985208125186603E-2</v>
      </c>
      <c r="M29" s="160">
        <f t="shared" si="1"/>
        <v>4.6877395762904853E-2</v>
      </c>
      <c r="N29" s="160">
        <f t="shared" si="1"/>
        <v>5.6621434720913279E-2</v>
      </c>
      <c r="O29" s="160">
        <f t="shared" si="1"/>
        <v>6.6241753790807475E-2</v>
      </c>
      <c r="P29" s="160">
        <f t="shared" si="1"/>
        <v>7.5794134369572053E-2</v>
      </c>
    </row>
    <row r="30" spans="1:16">
      <c r="A30" s="150">
        <v>39</v>
      </c>
      <c r="B30" s="150">
        <v>66345</v>
      </c>
      <c r="C30" s="150">
        <v>83022</v>
      </c>
      <c r="D30" s="150">
        <v>104798</v>
      </c>
      <c r="E30" s="150">
        <v>133478</v>
      </c>
      <c r="F30" s="150">
        <v>171111</v>
      </c>
      <c r="G30" s="150">
        <v>220761</v>
      </c>
      <c r="H30" s="150">
        <v>286462</v>
      </c>
      <c r="J30" s="160">
        <f t="shared" si="1"/>
        <v>1.7009490885087575E-2</v>
      </c>
      <c r="K30" s="160">
        <f t="shared" si="1"/>
        <v>2.7121154406123116E-2</v>
      </c>
      <c r="L30" s="160">
        <f t="shared" si="1"/>
        <v>3.7094337241694295E-2</v>
      </c>
      <c r="M30" s="160">
        <f t="shared" si="1"/>
        <v>4.6981777382164566E-2</v>
      </c>
      <c r="N30" s="160">
        <f t="shared" si="1"/>
        <v>5.6723003030373934E-2</v>
      </c>
      <c r="O30" s="160">
        <f t="shared" si="1"/>
        <v>6.6356728114293634E-2</v>
      </c>
      <c r="P30" s="160">
        <f t="shared" si="1"/>
        <v>7.5895815027271843E-2</v>
      </c>
    </row>
    <row r="31" spans="1:16">
      <c r="A31" s="150">
        <v>40</v>
      </c>
      <c r="B31" s="150">
        <v>68832</v>
      </c>
      <c r="C31" s="150">
        <v>86701</v>
      </c>
      <c r="D31" s="150">
        <v>110261</v>
      </c>
      <c r="E31" s="150">
        <v>141485</v>
      </c>
      <c r="F31" s="150">
        <v>182767</v>
      </c>
      <c r="G31" s="150">
        <v>237793</v>
      </c>
      <c r="H31" s="150">
        <v>311181</v>
      </c>
      <c r="J31" s="160">
        <f t="shared" si="1"/>
        <v>1.7101452875043166E-2</v>
      </c>
      <c r="K31" s="160">
        <f t="shared" si="1"/>
        <v>2.7211792318335638E-2</v>
      </c>
      <c r="L31" s="160">
        <f t="shared" si="1"/>
        <v>3.720048989579728E-2</v>
      </c>
      <c r="M31" s="160">
        <f t="shared" si="1"/>
        <v>4.70841801672503E-2</v>
      </c>
      <c r="N31" s="160">
        <f t="shared" si="1"/>
        <v>5.6817423452442749E-2</v>
      </c>
      <c r="O31" s="160">
        <f t="shared" si="1"/>
        <v>6.6461753625229616E-2</v>
      </c>
      <c r="P31" s="160">
        <f t="shared" si="1"/>
        <v>7.6004135359100014E-2</v>
      </c>
    </row>
    <row r="32" spans="1:16">
      <c r="A32" s="150">
        <v>41</v>
      </c>
      <c r="B32" s="150">
        <v>71538</v>
      </c>
      <c r="C32" s="150">
        <v>90705</v>
      </c>
      <c r="D32" s="150">
        <v>116227</v>
      </c>
      <c r="E32" s="150">
        <v>150254</v>
      </c>
      <c r="F32" s="150">
        <v>195602</v>
      </c>
      <c r="G32" s="150">
        <v>256668</v>
      </c>
      <c r="H32" s="150">
        <v>338834</v>
      </c>
      <c r="J32" s="160">
        <f t="shared" si="1"/>
        <v>1.7291908789258095E-2</v>
      </c>
      <c r="K32" s="160">
        <f t="shared" si="1"/>
        <v>2.7394819021891566E-2</v>
      </c>
      <c r="L32" s="160">
        <f t="shared" si="1"/>
        <v>3.7395000117926798E-2</v>
      </c>
      <c r="M32" s="160">
        <f t="shared" si="1"/>
        <v>4.7268817384368014E-2</v>
      </c>
      <c r="N32" s="160">
        <f t="shared" si="1"/>
        <v>5.699246256590141E-2</v>
      </c>
      <c r="O32" s="160">
        <f t="shared" si="1"/>
        <v>6.6645084905596397E-2</v>
      </c>
      <c r="P32" s="160">
        <f t="shared" si="1"/>
        <v>7.6196520942551527E-2</v>
      </c>
    </row>
    <row r="33" spans="1:16">
      <c r="A33" s="150">
        <v>42</v>
      </c>
      <c r="B33" s="150">
        <v>74326</v>
      </c>
      <c r="C33" s="150">
        <v>94867</v>
      </c>
      <c r="D33" s="150">
        <v>122486</v>
      </c>
      <c r="E33" s="150">
        <v>159537</v>
      </c>
      <c r="F33" s="150">
        <v>209387</v>
      </c>
      <c r="G33" s="150">
        <v>277029</v>
      </c>
      <c r="H33" s="150">
        <v>368930</v>
      </c>
      <c r="J33" s="160">
        <f t="shared" si="1"/>
        <v>1.7482517368935503E-2</v>
      </c>
      <c r="K33" s="160">
        <f t="shared" si="1"/>
        <v>2.7577857140446159E-2</v>
      </c>
      <c r="L33" s="160">
        <f t="shared" si="1"/>
        <v>3.7587892967398256E-2</v>
      </c>
      <c r="M33" s="160">
        <f t="shared" si="1"/>
        <v>4.7452052039001949E-2</v>
      </c>
      <c r="N33" s="160">
        <f t="shared" si="1"/>
        <v>5.7178928739319249E-2</v>
      </c>
      <c r="O33" s="160">
        <f t="shared" si="1"/>
        <v>6.6827359413368426E-2</v>
      </c>
      <c r="P33" s="160">
        <f t="shared" si="1"/>
        <v>7.6385500345859822E-2</v>
      </c>
    </row>
    <row r="34" spans="1:16">
      <c r="A34" s="150">
        <v>43</v>
      </c>
      <c r="B34" s="150">
        <v>77182</v>
      </c>
      <c r="C34" s="150">
        <v>99172</v>
      </c>
      <c r="D34" s="150">
        <v>129026</v>
      </c>
      <c r="E34" s="150">
        <v>169329</v>
      </c>
      <c r="F34" s="150">
        <v>224106</v>
      </c>
      <c r="G34" s="150">
        <v>298922</v>
      </c>
      <c r="H34" s="150">
        <v>401608</v>
      </c>
      <c r="J34" s="160">
        <f t="shared" si="1"/>
        <v>1.7663776418353681E-2</v>
      </c>
      <c r="K34" s="160">
        <f t="shared" si="1"/>
        <v>2.7751887691565627E-2</v>
      </c>
      <c r="L34" s="160">
        <f t="shared" si="1"/>
        <v>3.7771069793851558E-2</v>
      </c>
      <c r="M34" s="160">
        <f t="shared" si="1"/>
        <v>4.7625981185921699E-2</v>
      </c>
      <c r="N34" s="160">
        <f t="shared" si="1"/>
        <v>5.7361225543414315E-2</v>
      </c>
      <c r="O34" s="160">
        <f t="shared" si="1"/>
        <v>6.7000064199327164E-2</v>
      </c>
      <c r="P34" s="160">
        <f t="shared" si="1"/>
        <v>7.6564556164597578E-2</v>
      </c>
    </row>
    <row r="35" spans="1:16">
      <c r="A35" s="150">
        <v>44</v>
      </c>
      <c r="B35" s="150">
        <v>80107</v>
      </c>
      <c r="C35" s="150">
        <v>103662</v>
      </c>
      <c r="D35" s="150">
        <v>135858</v>
      </c>
      <c r="E35" s="150">
        <v>179654</v>
      </c>
      <c r="F35" s="150">
        <v>239782</v>
      </c>
      <c r="G35" s="150">
        <v>322602</v>
      </c>
      <c r="H35" s="150">
        <v>437077</v>
      </c>
      <c r="J35" s="160">
        <f t="shared" si="1"/>
        <v>1.7836012380283379E-2</v>
      </c>
      <c r="K35" s="160">
        <f t="shared" si="1"/>
        <v>2.7931150975388459E-2</v>
      </c>
      <c r="L35" s="160">
        <f t="shared" si="1"/>
        <v>3.7944787084907339E-2</v>
      </c>
      <c r="M35" s="160">
        <f t="shared" si="1"/>
        <v>4.7790510679898299E-2</v>
      </c>
      <c r="N35" s="160">
        <f t="shared" si="1"/>
        <v>5.7533630995689866E-2</v>
      </c>
      <c r="O35" s="160">
        <f t="shared" si="1"/>
        <v>6.717773530476201E-2</v>
      </c>
      <c r="P35" s="160">
        <f t="shared" si="1"/>
        <v>7.6733514495989835E-2</v>
      </c>
    </row>
    <row r="36" spans="1:16">
      <c r="A36" s="150">
        <v>45</v>
      </c>
      <c r="B36" s="150">
        <v>83103</v>
      </c>
      <c r="C36" s="150">
        <v>108322</v>
      </c>
      <c r="D36" s="150">
        <v>142995</v>
      </c>
      <c r="E36" s="150">
        <v>190543</v>
      </c>
      <c r="F36" s="150">
        <v>256480</v>
      </c>
      <c r="G36" s="150">
        <v>348090</v>
      </c>
      <c r="H36" s="150">
        <v>475587</v>
      </c>
      <c r="J36" s="160">
        <f t="shared" si="1"/>
        <v>1.800002648938942E-2</v>
      </c>
      <c r="K36" s="160">
        <f t="shared" si="1"/>
        <v>2.8106561186660294E-2</v>
      </c>
      <c r="L36" s="160">
        <f t="shared" si="1"/>
        <v>3.8109721046617702E-2</v>
      </c>
      <c r="M36" s="160">
        <f t="shared" si="1"/>
        <v>4.7946698440692867E-2</v>
      </c>
      <c r="N36" s="160">
        <f t="shared" si="1"/>
        <v>5.7697240073952216E-2</v>
      </c>
      <c r="O36" s="160">
        <f t="shared" si="1"/>
        <v>6.7347702402689114E-2</v>
      </c>
      <c r="P36" s="160">
        <f t="shared" si="1"/>
        <v>7.6893909415190559E-2</v>
      </c>
    </row>
    <row r="37" spans="1:16">
      <c r="A37" s="150">
        <v>46</v>
      </c>
      <c r="B37" s="150">
        <v>86172</v>
      </c>
      <c r="C37" s="150">
        <v>113144</v>
      </c>
      <c r="D37" s="150">
        <v>150452</v>
      </c>
      <c r="E37" s="150">
        <v>202047</v>
      </c>
      <c r="F37" s="150">
        <v>274269</v>
      </c>
      <c r="G37" s="150">
        <v>375509</v>
      </c>
      <c r="H37" s="150">
        <v>517399</v>
      </c>
      <c r="J37" s="160">
        <f>RATE($A37*12,-100,0,B37)*12</f>
        <v>1.8156504777017739E-2</v>
      </c>
      <c r="K37" s="160">
        <f t="shared" si="1"/>
        <v>2.8273460043691426E-2</v>
      </c>
      <c r="L37" s="160">
        <f t="shared" si="1"/>
        <v>3.8266808697381686E-2</v>
      </c>
      <c r="M37" s="160">
        <f t="shared" si="1"/>
        <v>4.8098390647353259E-2</v>
      </c>
      <c r="N37" s="160">
        <f t="shared" si="1"/>
        <v>5.7852944989931959E-2</v>
      </c>
      <c r="O37" s="160">
        <f t="shared" si="1"/>
        <v>6.750917843176911E-2</v>
      </c>
      <c r="P37" s="160">
        <f t="shared" si="1"/>
        <v>7.7046353198882409E-2</v>
      </c>
    </row>
    <row r="38" spans="1:16">
      <c r="A38" s="150">
        <v>47</v>
      </c>
      <c r="B38" s="150">
        <v>89314</v>
      </c>
      <c r="C38" s="150">
        <v>118133</v>
      </c>
      <c r="D38" s="150">
        <v>158242</v>
      </c>
      <c r="E38" s="150">
        <v>214268</v>
      </c>
      <c r="F38" s="150">
        <v>293214</v>
      </c>
      <c r="G38" s="150">
        <v>404999</v>
      </c>
      <c r="H38" s="150">
        <v>562785</v>
      </c>
      <c r="J38" s="160">
        <f t="shared" si="1"/>
        <v>1.8305199320344405E-2</v>
      </c>
      <c r="K38" s="160">
        <f t="shared" si="1"/>
        <v>2.8432244120586779E-2</v>
      </c>
      <c r="L38" s="160">
        <f t="shared" si="1"/>
        <v>3.8416288977110254E-2</v>
      </c>
      <c r="M38" s="160">
        <f t="shared" si="1"/>
        <v>4.825561811723332E-2</v>
      </c>
      <c r="N38" s="160">
        <f t="shared" si="1"/>
        <v>5.8000618391431981E-2</v>
      </c>
      <c r="O38" s="160">
        <f t="shared" si="1"/>
        <v>6.7662291849803297E-2</v>
      </c>
      <c r="P38" s="160">
        <f t="shared" si="1"/>
        <v>7.7190823517601898E-2</v>
      </c>
    </row>
    <row r="39" spans="1:16">
      <c r="A39" s="150">
        <v>48</v>
      </c>
      <c r="B39" s="150">
        <v>92535</v>
      </c>
      <c r="C39" s="150">
        <v>123297</v>
      </c>
      <c r="D39" s="150">
        <v>166382</v>
      </c>
      <c r="E39" s="150">
        <v>227167</v>
      </c>
      <c r="F39" s="150">
        <v>313490</v>
      </c>
      <c r="G39" s="150">
        <v>436727</v>
      </c>
      <c r="H39" s="150">
        <v>612066</v>
      </c>
      <c r="J39" s="160">
        <f t="shared" si="1"/>
        <v>1.844834162317717E-2</v>
      </c>
      <c r="K39" s="160">
        <f t="shared" si="1"/>
        <v>2.8584086505767586E-2</v>
      </c>
      <c r="L39" s="160">
        <f t="shared" si="1"/>
        <v>3.8559092944398507E-2</v>
      </c>
      <c r="M39" s="160">
        <f t="shared" si="1"/>
        <v>4.840573762723277E-2</v>
      </c>
      <c r="N39" s="160">
        <f t="shared" si="1"/>
        <v>5.8150288971541758E-2</v>
      </c>
      <c r="O39" s="160">
        <f t="shared" si="1"/>
        <v>6.7808340985966373E-2</v>
      </c>
      <c r="P39" s="160">
        <f t="shared" si="1"/>
        <v>7.73286103592353E-2</v>
      </c>
    </row>
    <row r="40" spans="1:16">
      <c r="A40" s="150">
        <v>49</v>
      </c>
      <c r="B40" s="150">
        <v>95833</v>
      </c>
      <c r="C40" s="150">
        <v>128639</v>
      </c>
      <c r="D40" s="150">
        <v>174886</v>
      </c>
      <c r="E40" s="150">
        <v>240777</v>
      </c>
      <c r="F40" s="150">
        <v>335161</v>
      </c>
      <c r="G40" s="150">
        <v>470852</v>
      </c>
      <c r="H40" s="150">
        <v>665560</v>
      </c>
      <c r="J40" s="160">
        <f t="shared" si="1"/>
        <v>1.8584738603956607E-2</v>
      </c>
      <c r="K40" s="160">
        <f t="shared" si="1"/>
        <v>2.8728600369944256E-2</v>
      </c>
      <c r="L40" s="160">
        <f t="shared" si="1"/>
        <v>3.8695324373759277E-2</v>
      </c>
      <c r="M40" s="160">
        <f t="shared" si="1"/>
        <v>4.8548614800410513E-2</v>
      </c>
      <c r="N40" s="160">
        <f t="shared" ref="N40:P51" si="2">RATE($A40*12,-100,0,F40)*12</f>
        <v>5.8298594284492383E-2</v>
      </c>
      <c r="O40" s="160">
        <f t="shared" si="2"/>
        <v>6.7947127436016941E-2</v>
      </c>
      <c r="P40" s="160">
        <f t="shared" si="2"/>
        <v>7.7459471774323579E-2</v>
      </c>
    </row>
    <row r="41" spans="1:16">
      <c r="A41" s="150">
        <v>50</v>
      </c>
      <c r="B41" s="150">
        <v>99211</v>
      </c>
      <c r="C41" s="150">
        <v>134167</v>
      </c>
      <c r="D41" s="150">
        <v>183768</v>
      </c>
      <c r="E41" s="150">
        <v>255136</v>
      </c>
      <c r="F41" s="150">
        <v>358253</v>
      </c>
      <c r="G41" s="150">
        <v>507555</v>
      </c>
      <c r="H41" s="150">
        <v>723632</v>
      </c>
      <c r="J41" s="160">
        <f t="shared" ref="J41:M51" si="3">RATE($A41*12,-100,0,B41)*12</f>
        <v>1.8715249460769922E-2</v>
      </c>
      <c r="K41" s="160">
        <f t="shared" si="3"/>
        <v>2.8866736832933865E-2</v>
      </c>
      <c r="L41" s="160">
        <f t="shared" si="3"/>
        <v>3.8825025014155565E-2</v>
      </c>
      <c r="M41" s="160">
        <f t="shared" si="3"/>
        <v>4.8684599820543753E-2</v>
      </c>
      <c r="N41" s="160">
        <f t="shared" si="2"/>
        <v>5.8439688217044344E-2</v>
      </c>
      <c r="O41" s="160">
        <f t="shared" si="2"/>
        <v>6.8079151896826784E-2</v>
      </c>
      <c r="P41" s="160">
        <f t="shared" si="2"/>
        <v>7.7584074907948913E-2</v>
      </c>
    </row>
    <row r="42" spans="1:16">
      <c r="A42" s="150">
        <v>51</v>
      </c>
      <c r="B42" s="150">
        <v>102709</v>
      </c>
      <c r="C42" s="150">
        <v>139888</v>
      </c>
      <c r="D42" s="150">
        <v>193050</v>
      </c>
      <c r="E42" s="150">
        <v>270291</v>
      </c>
      <c r="F42" s="150">
        <v>382867</v>
      </c>
      <c r="G42" s="150">
        <v>547044</v>
      </c>
      <c r="H42" s="150">
        <v>786688</v>
      </c>
      <c r="J42" s="160">
        <f t="shared" si="3"/>
        <v>1.8852830474816375E-2</v>
      </c>
      <c r="K42" s="160">
        <f t="shared" si="3"/>
        <v>2.8999012580693203E-2</v>
      </c>
      <c r="L42" s="160">
        <f t="shared" si="3"/>
        <v>3.8949442386742694E-2</v>
      </c>
      <c r="M42" s="160">
        <f t="shared" si="3"/>
        <v>4.8814768992746629E-2</v>
      </c>
      <c r="N42" s="160">
        <f t="shared" si="2"/>
        <v>5.8574621851810171E-2</v>
      </c>
      <c r="O42" s="160">
        <f t="shared" si="2"/>
        <v>6.8205518421866132E-2</v>
      </c>
      <c r="P42" s="160">
        <f t="shared" si="2"/>
        <v>7.7703304944813839E-2</v>
      </c>
    </row>
    <row r="43" spans="1:16">
      <c r="A43" s="150">
        <v>52</v>
      </c>
      <c r="B43" s="150">
        <v>106307</v>
      </c>
      <c r="C43" s="150">
        <v>145807</v>
      </c>
      <c r="D43" s="150">
        <v>202770</v>
      </c>
      <c r="E43" s="150">
        <v>286280</v>
      </c>
      <c r="F43" s="150">
        <v>409096</v>
      </c>
      <c r="G43" s="150">
        <v>589516</v>
      </c>
      <c r="H43" s="150">
        <v>855135</v>
      </c>
      <c r="J43" s="160">
        <f t="shared" si="3"/>
        <v>1.8988848103369666E-2</v>
      </c>
      <c r="K43" s="160">
        <f t="shared" si="3"/>
        <v>2.9125408135215539E-2</v>
      </c>
      <c r="L43" s="160">
        <f t="shared" si="3"/>
        <v>3.9071764842112292E-2</v>
      </c>
      <c r="M43" s="160">
        <f t="shared" si="3"/>
        <v>4.8938866462407887E-2</v>
      </c>
      <c r="N43" s="160">
        <f t="shared" si="2"/>
        <v>5.8703284508482445E-2</v>
      </c>
      <c r="O43" s="160">
        <f t="shared" si="2"/>
        <v>6.8325918892222351E-2</v>
      </c>
      <c r="P43" s="160">
        <f t="shared" si="2"/>
        <v>7.7816864378646947E-2</v>
      </c>
    </row>
    <row r="44" spans="1:16">
      <c r="A44" s="150">
        <v>53</v>
      </c>
      <c r="B44" s="150">
        <v>109994</v>
      </c>
      <c r="C44" s="150">
        <v>151932</v>
      </c>
      <c r="D44" s="150">
        <v>213008</v>
      </c>
      <c r="E44" s="150">
        <v>303181</v>
      </c>
      <c r="F44" s="150">
        <v>437051</v>
      </c>
      <c r="G44" s="150">
        <v>635207</v>
      </c>
      <c r="H44" s="150">
        <v>929453</v>
      </c>
      <c r="J44" s="160">
        <f t="shared" si="3"/>
        <v>1.9119075282122137E-2</v>
      </c>
      <c r="K44" s="160">
        <f t="shared" si="3"/>
        <v>2.9246521435057855E-2</v>
      </c>
      <c r="L44" s="160">
        <f t="shared" si="3"/>
        <v>3.9199888339787547E-2</v>
      </c>
      <c r="M44" s="160">
        <f t="shared" si="3"/>
        <v>4.9060176451000748E-2</v>
      </c>
      <c r="N44" s="160">
        <f t="shared" si="2"/>
        <v>5.8826384955527382E-2</v>
      </c>
      <c r="O44" s="160">
        <f t="shared" si="2"/>
        <v>6.8441173954545409E-2</v>
      </c>
      <c r="P44" s="160">
        <f t="shared" si="2"/>
        <v>7.7925640499391519E-2</v>
      </c>
    </row>
    <row r="45" spans="1:16">
      <c r="A45" s="150">
        <v>54</v>
      </c>
      <c r="B45" s="150">
        <v>113772</v>
      </c>
      <c r="C45" s="150">
        <v>158270</v>
      </c>
      <c r="D45" s="150">
        <v>223708</v>
      </c>
      <c r="E45" s="150">
        <v>321138</v>
      </c>
      <c r="F45" s="150">
        <v>466840</v>
      </c>
      <c r="G45" s="150">
        <v>684350</v>
      </c>
      <c r="H45" s="150">
        <v>1010126</v>
      </c>
      <c r="J45" s="160">
        <f t="shared" si="3"/>
        <v>1.9243807515061981E-2</v>
      </c>
      <c r="K45" s="160">
        <f t="shared" si="3"/>
        <v>2.9362632176341837E-2</v>
      </c>
      <c r="L45" s="160">
        <f t="shared" si="3"/>
        <v>3.9322365407888048E-2</v>
      </c>
      <c r="M45" s="160">
        <f t="shared" si="3"/>
        <v>4.9186320660171867E-2</v>
      </c>
      <c r="N45" s="160">
        <f t="shared" si="2"/>
        <v>5.8943950060286271E-2</v>
      </c>
      <c r="O45" s="160">
        <f t="shared" si="2"/>
        <v>6.8551189719201058E-2</v>
      </c>
      <c r="P45" s="160">
        <f t="shared" si="2"/>
        <v>7.8029442477838745E-2</v>
      </c>
    </row>
    <row r="46" spans="1:16">
      <c r="A46" s="150">
        <v>55</v>
      </c>
      <c r="B46" s="150">
        <v>117643</v>
      </c>
      <c r="C46" s="150">
        <v>164827</v>
      </c>
      <c r="D46" s="150">
        <v>234890</v>
      </c>
      <c r="E46" s="150">
        <v>340103</v>
      </c>
      <c r="F46" s="150">
        <v>498581</v>
      </c>
      <c r="G46" s="150">
        <v>737205</v>
      </c>
      <c r="H46" s="150">
        <v>1097697</v>
      </c>
      <c r="J46" s="160">
        <f t="shared" si="3"/>
        <v>1.9363310350107882E-2</v>
      </c>
      <c r="K46" s="160">
        <f t="shared" si="3"/>
        <v>2.947378426815642E-2</v>
      </c>
      <c r="L46" s="160">
        <f t="shared" si="3"/>
        <v>3.9439445574554748E-2</v>
      </c>
      <c r="M46" s="160">
        <f t="shared" si="3"/>
        <v>4.9307648749381407E-2</v>
      </c>
      <c r="N46" s="160">
        <f t="shared" si="2"/>
        <v>5.9056212048745158E-2</v>
      </c>
      <c r="O46" s="160">
        <f t="shared" si="2"/>
        <v>6.8656275682902779E-2</v>
      </c>
      <c r="P46" s="160">
        <f t="shared" si="2"/>
        <v>7.8128584978447629E-2</v>
      </c>
    </row>
    <row r="47" spans="1:16">
      <c r="A47" s="150">
        <v>56</v>
      </c>
      <c r="B47" s="150">
        <v>121610</v>
      </c>
      <c r="C47" s="150">
        <v>171613</v>
      </c>
      <c r="D47" s="150">
        <v>246581</v>
      </c>
      <c r="E47" s="150">
        <v>360129</v>
      </c>
      <c r="F47" s="150">
        <v>532417</v>
      </c>
      <c r="G47" s="150">
        <v>794073</v>
      </c>
      <c r="H47" s="150">
        <v>1192788</v>
      </c>
      <c r="J47" s="160">
        <f t="shared" si="3"/>
        <v>1.9478073557509828E-2</v>
      </c>
      <c r="K47" s="160">
        <f t="shared" si="3"/>
        <v>2.9580678088892663E-2</v>
      </c>
      <c r="L47" s="160">
        <f t="shared" si="3"/>
        <v>3.9552035009576304E-2</v>
      </c>
      <c r="M47" s="160">
        <f t="shared" si="3"/>
        <v>4.9424155400226294E-2</v>
      </c>
      <c r="N47" s="160">
        <f t="shared" si="2"/>
        <v>5.9164199265703855E-2</v>
      </c>
      <c r="O47" s="160">
        <f t="shared" si="2"/>
        <v>6.8757356821207746E-2</v>
      </c>
      <c r="P47" s="160">
        <f t="shared" si="2"/>
        <v>7.8223985457586936E-2</v>
      </c>
    </row>
    <row r="48" spans="1:16">
      <c r="A48" s="150">
        <v>57</v>
      </c>
      <c r="B48" s="150">
        <v>125676</v>
      </c>
      <c r="C48" s="150">
        <v>178635</v>
      </c>
      <c r="D48" s="150">
        <v>258801</v>
      </c>
      <c r="E48" s="150">
        <v>381272</v>
      </c>
      <c r="F48" s="150">
        <v>568476</v>
      </c>
      <c r="G48" s="150">
        <v>855245</v>
      </c>
      <c r="H48" s="150">
        <v>1296023</v>
      </c>
      <c r="J48" s="160">
        <f t="shared" si="3"/>
        <v>1.958851211051383E-2</v>
      </c>
      <c r="K48" s="160">
        <f t="shared" si="3"/>
        <v>2.9683387795117939E-2</v>
      </c>
      <c r="L48" s="160">
        <f t="shared" si="3"/>
        <v>3.9660051261371961E-2</v>
      </c>
      <c r="M48" s="160">
        <f t="shared" si="3"/>
        <v>4.9535885195755927E-2</v>
      </c>
      <c r="N48" s="160">
        <f t="shared" si="2"/>
        <v>5.9267697913664444E-2</v>
      </c>
      <c r="O48" s="160">
        <f t="shared" si="2"/>
        <v>6.8854266163065836E-2</v>
      </c>
      <c r="P48" s="160">
        <f t="shared" si="2"/>
        <v>7.8315451321024826E-2</v>
      </c>
    </row>
    <row r="49" spans="1:16">
      <c r="A49" s="150">
        <v>58</v>
      </c>
      <c r="B49" s="150">
        <v>129842</v>
      </c>
      <c r="C49" s="150">
        <v>185900</v>
      </c>
      <c r="D49" s="150">
        <v>271572</v>
      </c>
      <c r="E49" s="150">
        <v>403591</v>
      </c>
      <c r="F49" s="150">
        <v>606902</v>
      </c>
      <c r="G49" s="150">
        <v>921042</v>
      </c>
      <c r="H49" s="150">
        <v>1408094</v>
      </c>
      <c r="J49" s="160">
        <f t="shared" si="3"/>
        <v>1.9694528437535701E-2</v>
      </c>
      <c r="K49" s="160">
        <f t="shared" si="3"/>
        <v>2.9781967648848592E-2</v>
      </c>
      <c r="L49" s="160">
        <f t="shared" si="3"/>
        <v>3.9763571458300756E-2</v>
      </c>
      <c r="M49" s="160">
        <f t="shared" si="3"/>
        <v>4.9642911532639056E-2</v>
      </c>
      <c r="N49" s="160">
        <f t="shared" si="2"/>
        <v>5.9366889556806815E-2</v>
      </c>
      <c r="O49" s="160">
        <f t="shared" si="2"/>
        <v>6.8947127941987013E-2</v>
      </c>
      <c r="P49" s="160">
        <f t="shared" si="2"/>
        <v>7.8403124846160951E-2</v>
      </c>
    </row>
    <row r="50" spans="1:16">
      <c r="A50" s="150">
        <v>59</v>
      </c>
      <c r="B50" s="150">
        <v>134110</v>
      </c>
      <c r="C50" s="150">
        <v>193416</v>
      </c>
      <c r="D50" s="150">
        <v>284920</v>
      </c>
      <c r="E50" s="150">
        <v>427153</v>
      </c>
      <c r="F50" s="150">
        <v>647850</v>
      </c>
      <c r="G50" s="150">
        <v>991812</v>
      </c>
      <c r="H50" s="150">
        <v>1529752</v>
      </c>
      <c r="J50" s="160">
        <f t="shared" si="3"/>
        <v>1.9796276488245522E-2</v>
      </c>
      <c r="K50" s="160">
        <f t="shared" si="3"/>
        <v>2.9876595298176798E-2</v>
      </c>
      <c r="L50" s="160">
        <f t="shared" si="3"/>
        <v>3.9862959170314571E-2</v>
      </c>
      <c r="M50" s="160">
        <f t="shared" si="3"/>
        <v>4.97456003906315E-2</v>
      </c>
      <c r="N50" s="160">
        <f t="shared" si="2"/>
        <v>5.9462012387318235E-2</v>
      </c>
      <c r="O50" s="160">
        <f t="shared" si="2"/>
        <v>6.9036143486792906E-2</v>
      </c>
      <c r="P50" s="160">
        <f t="shared" si="2"/>
        <v>7.8487155085131891E-2</v>
      </c>
    </row>
    <row r="51" spans="1:16" ht="13.5" thickBot="1">
      <c r="A51" s="150">
        <v>60</v>
      </c>
      <c r="B51" s="150">
        <v>138483</v>
      </c>
      <c r="C51" s="150">
        <v>201201</v>
      </c>
      <c r="D51" s="150">
        <v>298869</v>
      </c>
      <c r="E51" s="150">
        <v>452025</v>
      </c>
      <c r="F51" s="150">
        <v>691481</v>
      </c>
      <c r="G51" s="150">
        <v>1067928</v>
      </c>
      <c r="H51" s="150">
        <v>1661807</v>
      </c>
      <c r="J51" s="160">
        <f t="shared" si="3"/>
        <v>1.9894101511813967E-2</v>
      </c>
      <c r="K51" s="160">
        <f t="shared" si="3"/>
        <v>2.9968701361907601E-2</v>
      </c>
      <c r="L51" s="160">
        <f t="shared" si="3"/>
        <v>3.9958275402135826E-2</v>
      </c>
      <c r="M51" s="160">
        <f t="shared" si="3"/>
        <v>4.9844082641651175E-2</v>
      </c>
      <c r="N51" s="160">
        <f t="shared" si="2"/>
        <v>5.9553154316104105E-2</v>
      </c>
      <c r="O51" s="160">
        <f t="shared" si="2"/>
        <v>6.912148060373316E-2</v>
      </c>
      <c r="P51" s="160">
        <f t="shared" si="2"/>
        <v>7.8567630854841225E-2</v>
      </c>
    </row>
    <row r="52" spans="1:16" s="153" customFormat="1">
      <c r="I52" s="162" t="s">
        <v>0</v>
      </c>
    </row>
    <row r="53" spans="1:16" s="153" customFormat="1" ht="13.5" thickBot="1">
      <c r="I53" s="163">
        <f>SUM(J53:P53)</f>
        <v>3.9893889581144135E-2</v>
      </c>
      <c r="J53" s="160">
        <f>IF(Hilfe!$E$3='FSX (Einzel)'!J2,VLOOKUP(Hilfe!$B$54,$A$3:$P$51,10),0)</f>
        <v>0</v>
      </c>
      <c r="K53" s="160">
        <f>IF(Hilfe!$E$3='FSX (Einzel)'!K2,VLOOKUP(Hilfe!$B$54,$A$3:$P$51,11),0)</f>
        <v>0</v>
      </c>
      <c r="L53" s="160">
        <f>IF(Hilfe!$E$3='FSX (Einzel)'!L2,VLOOKUP(Hilfe!$B$54,$A$3:$P$51,12),0)</f>
        <v>0</v>
      </c>
      <c r="M53" s="160">
        <f>IF(Hilfe!$E$3='FSX (Einzel)'!M2,VLOOKUP(Hilfe!$B$54,$A$3:$P$51,13),0)</f>
        <v>3.9893889581144135E-2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P53"/>
  <sheetViews>
    <sheetView topLeftCell="A25"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126</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0">
        <v>15481</v>
      </c>
      <c r="C3" s="150">
        <v>16473</v>
      </c>
      <c r="D3" s="150">
        <v>17536</v>
      </c>
      <c r="E3" s="150">
        <v>18677</v>
      </c>
      <c r="F3" s="150">
        <v>19900</v>
      </c>
      <c r="G3" s="150">
        <v>21211</v>
      </c>
      <c r="H3" s="150">
        <v>22617</v>
      </c>
      <c r="J3" s="160">
        <f>RATE($A$3*12,-100,0,B3)*12</f>
        <v>1.2009520569718721E-2</v>
      </c>
      <c r="K3" s="160">
        <f t="shared" ref="K3:P3" si="0">RATE($A3*12,-100,0,C3)*12</f>
        <v>2.2102123115489074E-2</v>
      </c>
      <c r="L3" s="160">
        <f t="shared" si="0"/>
        <v>3.2078258300076032E-2</v>
      </c>
      <c r="M3" s="160">
        <f t="shared" si="0"/>
        <v>4.1957605475410317E-2</v>
      </c>
      <c r="N3" s="160">
        <f t="shared" si="0"/>
        <v>5.1729076419418443E-2</v>
      </c>
      <c r="O3" s="160">
        <f t="shared" si="0"/>
        <v>6.1396957658353082E-2</v>
      </c>
      <c r="P3" s="160">
        <f t="shared" si="0"/>
        <v>7.0969036261801538E-2</v>
      </c>
    </row>
    <row r="4" spans="1:16">
      <c r="A4" s="150">
        <v>13</v>
      </c>
      <c r="B4" s="150">
        <v>16965</v>
      </c>
      <c r="C4" s="150">
        <v>18149</v>
      </c>
      <c r="D4" s="150">
        <v>19428</v>
      </c>
      <c r="E4" s="150">
        <v>20809</v>
      </c>
      <c r="F4" s="150">
        <v>22300</v>
      </c>
      <c r="G4" s="150">
        <v>23911</v>
      </c>
      <c r="H4" s="150">
        <v>25651</v>
      </c>
      <c r="J4" s="160">
        <f t="shared" ref="J4:P40" si="1">RATE($A4*12,-100,0,B4)*12</f>
        <v>1.2816091583574843E-2</v>
      </c>
      <c r="K4" s="160">
        <f t="shared" si="1"/>
        <v>2.2886232076649637E-2</v>
      </c>
      <c r="L4" s="160">
        <f t="shared" si="1"/>
        <v>3.2851697490824387E-2</v>
      </c>
      <c r="M4" s="160">
        <f t="shared" si="1"/>
        <v>4.2710377121927309E-2</v>
      </c>
      <c r="N4" s="160">
        <f t="shared" si="1"/>
        <v>5.2464200976025513E-2</v>
      </c>
      <c r="O4" s="160">
        <f t="shared" si="1"/>
        <v>6.2123240745035301E-2</v>
      </c>
      <c r="P4" s="160">
        <f t="shared" si="1"/>
        <v>7.1686324907716245E-2</v>
      </c>
    </row>
    <row r="5" spans="1:16">
      <c r="A5" s="150">
        <v>14</v>
      </c>
      <c r="B5" s="150">
        <v>18480</v>
      </c>
      <c r="C5" s="150">
        <v>19877</v>
      </c>
      <c r="D5" s="150">
        <v>21399</v>
      </c>
      <c r="E5" s="150">
        <v>23052</v>
      </c>
      <c r="F5" s="150">
        <v>24850</v>
      </c>
      <c r="G5" s="150">
        <v>26806</v>
      </c>
      <c r="H5" s="150">
        <v>28934</v>
      </c>
      <c r="J5" s="160">
        <f t="shared" si="1"/>
        <v>1.3491530813831542E-2</v>
      </c>
      <c r="K5" s="160">
        <f t="shared" si="1"/>
        <v>2.3544553787043766E-2</v>
      </c>
      <c r="L5" s="160">
        <f t="shared" si="1"/>
        <v>3.3508468424726136E-2</v>
      </c>
      <c r="M5" s="160">
        <f t="shared" si="1"/>
        <v>4.3353765814178206E-2</v>
      </c>
      <c r="N5" s="160">
        <f t="shared" si="1"/>
        <v>5.309821862724777E-2</v>
      </c>
      <c r="O5" s="160">
        <f t="shared" si="1"/>
        <v>6.2745335090677229E-2</v>
      </c>
      <c r="P5" s="160">
        <f t="shared" si="1"/>
        <v>7.2297849508036124E-2</v>
      </c>
    </row>
    <row r="6" spans="1:16">
      <c r="A6" s="150">
        <v>15</v>
      </c>
      <c r="B6" s="150">
        <v>20028</v>
      </c>
      <c r="C6" s="150">
        <v>21661</v>
      </c>
      <c r="D6" s="150">
        <v>23450</v>
      </c>
      <c r="E6" s="150">
        <v>25410</v>
      </c>
      <c r="F6" s="150">
        <v>27556</v>
      </c>
      <c r="G6" s="150">
        <v>29908</v>
      </c>
      <c r="H6" s="150">
        <v>32487</v>
      </c>
      <c r="J6" s="160">
        <f t="shared" si="1"/>
        <v>1.4073793142172806E-2</v>
      </c>
      <c r="K6" s="160">
        <f t="shared" si="1"/>
        <v>2.4118744789297878E-2</v>
      </c>
      <c r="L6" s="160">
        <f t="shared" si="1"/>
        <v>3.4060805546157043E-2</v>
      </c>
      <c r="M6" s="160">
        <f t="shared" si="1"/>
        <v>4.3901318108147888E-2</v>
      </c>
      <c r="N6" s="160">
        <f t="shared" si="1"/>
        <v>5.3635780256287173E-2</v>
      </c>
      <c r="O6" s="160">
        <f t="shared" si="1"/>
        <v>6.327571985283853E-2</v>
      </c>
      <c r="P6" s="160">
        <f t="shared" si="1"/>
        <v>7.282700847332732E-2</v>
      </c>
    </row>
    <row r="7" spans="1:16">
      <c r="A7" s="150">
        <v>16</v>
      </c>
      <c r="B7" s="150">
        <v>21609</v>
      </c>
      <c r="C7" s="150">
        <v>23502</v>
      </c>
      <c r="D7" s="150">
        <v>25589</v>
      </c>
      <c r="E7" s="150">
        <v>27891</v>
      </c>
      <c r="F7" s="150">
        <v>30433</v>
      </c>
      <c r="G7" s="150">
        <v>33235</v>
      </c>
      <c r="H7" s="150">
        <v>36331</v>
      </c>
      <c r="J7" s="160">
        <f t="shared" si="1"/>
        <v>1.4576840340563325E-2</v>
      </c>
      <c r="K7" s="160">
        <f t="shared" si="1"/>
        <v>2.4619761413974262E-2</v>
      </c>
      <c r="L7" s="160">
        <f t="shared" si="1"/>
        <v>3.4552667000076906E-2</v>
      </c>
      <c r="M7" s="160">
        <f t="shared" si="1"/>
        <v>4.4381182775399618E-2</v>
      </c>
      <c r="N7" s="160">
        <f t="shared" si="1"/>
        <v>5.411675070259879E-2</v>
      </c>
      <c r="O7" s="160">
        <f t="shared" si="1"/>
        <v>6.3743359633568697E-2</v>
      </c>
      <c r="P7" s="160">
        <f t="shared" si="1"/>
        <v>7.3285542301648868E-2</v>
      </c>
    </row>
    <row r="8" spans="1:16">
      <c r="A8" s="150">
        <v>17</v>
      </c>
      <c r="B8" s="150">
        <v>23222</v>
      </c>
      <c r="C8" s="150">
        <v>25400</v>
      </c>
      <c r="D8" s="150">
        <v>27817</v>
      </c>
      <c r="E8" s="150">
        <v>30503</v>
      </c>
      <c r="F8" s="150">
        <v>33488</v>
      </c>
      <c r="G8" s="150">
        <v>36803</v>
      </c>
      <c r="H8" s="150">
        <v>40489</v>
      </c>
      <c r="J8" s="160">
        <f t="shared" si="1"/>
        <v>1.50073763389772E-2</v>
      </c>
      <c r="K8" s="160">
        <f t="shared" si="1"/>
        <v>2.5052760370666064E-2</v>
      </c>
      <c r="L8" s="160">
        <f t="shared" si="1"/>
        <v>3.4982402925689805E-2</v>
      </c>
      <c r="M8" s="160">
        <f t="shared" si="1"/>
        <v>4.4810504377319149E-2</v>
      </c>
      <c r="N8" s="160">
        <f t="shared" si="1"/>
        <v>5.4537375818305082E-2</v>
      </c>
      <c r="O8" s="160">
        <f t="shared" si="1"/>
        <v>6.4157584127072564E-2</v>
      </c>
      <c r="P8" s="160">
        <f t="shared" si="1"/>
        <v>7.3684391345989753E-2</v>
      </c>
    </row>
    <row r="9" spans="1:16">
      <c r="A9" s="150">
        <v>18</v>
      </c>
      <c r="B9" s="150">
        <v>24873</v>
      </c>
      <c r="C9" s="150">
        <v>27360</v>
      </c>
      <c r="D9" s="150">
        <v>30140</v>
      </c>
      <c r="E9" s="150">
        <v>33250</v>
      </c>
      <c r="F9" s="150">
        <v>36732</v>
      </c>
      <c r="G9" s="150">
        <v>40629</v>
      </c>
      <c r="H9" s="150">
        <v>44992</v>
      </c>
      <c r="J9" s="160">
        <f t="shared" si="1"/>
        <v>1.5402588544936906E-2</v>
      </c>
      <c r="K9" s="160">
        <f t="shared" si="1"/>
        <v>2.5442777442780312E-2</v>
      </c>
      <c r="L9" s="160">
        <f t="shared" si="1"/>
        <v>3.5368687830244681E-2</v>
      </c>
      <c r="M9" s="160">
        <f t="shared" si="1"/>
        <v>4.5187949625083892E-2</v>
      </c>
      <c r="N9" s="160">
        <f t="shared" si="1"/>
        <v>5.4908136199217375E-2</v>
      </c>
      <c r="O9" s="160">
        <f t="shared" si="1"/>
        <v>6.4525753510509015E-2</v>
      </c>
      <c r="P9" s="160">
        <f t="shared" si="1"/>
        <v>7.4045219581310717E-2</v>
      </c>
    </row>
    <row r="10" spans="1:16">
      <c r="A10" s="150">
        <v>19</v>
      </c>
      <c r="B10" s="150">
        <v>26559</v>
      </c>
      <c r="C10" s="150">
        <v>29380</v>
      </c>
      <c r="D10" s="150">
        <v>32559</v>
      </c>
      <c r="E10" s="150">
        <v>36141</v>
      </c>
      <c r="F10" s="150">
        <v>40176</v>
      </c>
      <c r="G10" s="150">
        <v>44731</v>
      </c>
      <c r="H10" s="150">
        <v>49865</v>
      </c>
      <c r="J10" s="160">
        <f t="shared" si="1"/>
        <v>1.5751363718384686E-2</v>
      </c>
      <c r="K10" s="160">
        <f t="shared" si="1"/>
        <v>2.5782349297396985E-2</v>
      </c>
      <c r="L10" s="160">
        <f t="shared" si="1"/>
        <v>3.5708711855103249E-2</v>
      </c>
      <c r="M10" s="160">
        <f t="shared" si="1"/>
        <v>4.552744943182982E-2</v>
      </c>
      <c r="N10" s="160">
        <f t="shared" si="1"/>
        <v>5.5235692881694609E-2</v>
      </c>
      <c r="O10" s="160">
        <f t="shared" si="1"/>
        <v>6.4853660702529972E-2</v>
      </c>
      <c r="P10" s="160">
        <f t="shared" si="1"/>
        <v>7.436648315567787E-2</v>
      </c>
    </row>
    <row r="11" spans="1:16">
      <c r="A11" s="150">
        <v>20</v>
      </c>
      <c r="B11" s="150">
        <v>28282</v>
      </c>
      <c r="C11" s="150">
        <v>31466</v>
      </c>
      <c r="D11" s="150">
        <v>35081</v>
      </c>
      <c r="E11" s="150">
        <v>39180</v>
      </c>
      <c r="F11" s="150">
        <v>43838</v>
      </c>
      <c r="G11" s="150">
        <v>49130</v>
      </c>
      <c r="H11" s="150">
        <v>55166</v>
      </c>
      <c r="J11" s="160">
        <f t="shared" si="1"/>
        <v>1.606559195904271E-2</v>
      </c>
      <c r="K11" s="160">
        <f t="shared" si="1"/>
        <v>2.6092630725363972E-2</v>
      </c>
      <c r="L11" s="160">
        <f t="shared" si="1"/>
        <v>3.6017953048269803E-2</v>
      </c>
      <c r="M11" s="160">
        <f t="shared" si="1"/>
        <v>4.582639784466358E-2</v>
      </c>
      <c r="N11" s="160">
        <f t="shared" si="1"/>
        <v>5.5538074753622345E-2</v>
      </c>
      <c r="O11" s="160">
        <f t="shared" si="1"/>
        <v>6.514926312157468E-2</v>
      </c>
      <c r="P11" s="160">
        <f t="shared" si="1"/>
        <v>7.4694931706126677E-2</v>
      </c>
    </row>
    <row r="12" spans="1:16">
      <c r="A12" s="150">
        <v>21</v>
      </c>
      <c r="B12" s="150">
        <v>30041</v>
      </c>
      <c r="C12" s="150">
        <v>33620</v>
      </c>
      <c r="D12" s="150">
        <v>37707</v>
      </c>
      <c r="E12" s="150">
        <v>42381</v>
      </c>
      <c r="F12" s="150">
        <v>47727</v>
      </c>
      <c r="G12" s="150">
        <v>53867</v>
      </c>
      <c r="H12" s="150">
        <v>60906</v>
      </c>
      <c r="J12" s="160">
        <f t="shared" si="1"/>
        <v>1.6344681325953341E-2</v>
      </c>
      <c r="K12" s="160">
        <f t="shared" si="1"/>
        <v>2.6376711339808321E-2</v>
      </c>
      <c r="L12" s="160">
        <f t="shared" si="1"/>
        <v>3.6292646499259326E-2</v>
      </c>
      <c r="M12" s="160">
        <f t="shared" si="1"/>
        <v>4.6104002389110957E-2</v>
      </c>
      <c r="N12" s="160">
        <f t="shared" si="1"/>
        <v>5.5809553190741157E-2</v>
      </c>
      <c r="O12" s="160">
        <f t="shared" si="1"/>
        <v>6.5445427339761372E-2</v>
      </c>
      <c r="P12" s="160">
        <f t="shared" si="1"/>
        <v>7.4989974177740309E-2</v>
      </c>
    </row>
    <row r="13" spans="1:16">
      <c r="A13" s="150">
        <v>22</v>
      </c>
      <c r="B13" s="150">
        <v>31839</v>
      </c>
      <c r="C13" s="150">
        <v>35842</v>
      </c>
      <c r="D13" s="150">
        <v>40446</v>
      </c>
      <c r="E13" s="150">
        <v>45748</v>
      </c>
      <c r="F13" s="150">
        <v>51870</v>
      </c>
      <c r="G13" s="150">
        <v>58953</v>
      </c>
      <c r="H13" s="150">
        <v>67122</v>
      </c>
      <c r="J13" s="160">
        <f t="shared" si="1"/>
        <v>1.6600180092418253E-2</v>
      </c>
      <c r="K13" s="160">
        <f t="shared" si="1"/>
        <v>2.6632528248051651E-2</v>
      </c>
      <c r="L13" s="160">
        <f t="shared" si="1"/>
        <v>3.654755397838165E-2</v>
      </c>
      <c r="M13" s="160">
        <f t="shared" si="1"/>
        <v>4.6354166059502551E-2</v>
      </c>
      <c r="N13" s="160">
        <f t="shared" si="1"/>
        <v>5.6073565666443476E-2</v>
      </c>
      <c r="O13" s="160">
        <f t="shared" si="1"/>
        <v>6.5719004906594491E-2</v>
      </c>
      <c r="P13" s="160">
        <f t="shared" si="1"/>
        <v>7.5256998394380353E-2</v>
      </c>
    </row>
    <row r="14" spans="1:16">
      <c r="A14" s="150">
        <v>23</v>
      </c>
      <c r="B14" s="150">
        <v>33676</v>
      </c>
      <c r="C14" s="150">
        <v>38135</v>
      </c>
      <c r="D14" s="150">
        <v>43300</v>
      </c>
      <c r="E14" s="150">
        <v>49291</v>
      </c>
      <c r="F14" s="150">
        <v>56285</v>
      </c>
      <c r="G14" s="150">
        <v>64408</v>
      </c>
      <c r="H14" s="150">
        <v>73856</v>
      </c>
      <c r="J14" s="160">
        <f t="shared" si="1"/>
        <v>1.6832816266750622E-2</v>
      </c>
      <c r="K14" s="160">
        <f t="shared" si="1"/>
        <v>2.6865825134770014E-2</v>
      </c>
      <c r="L14" s="160">
        <f t="shared" si="1"/>
        <v>3.67794550976214E-2</v>
      </c>
      <c r="M14" s="160">
        <f t="shared" si="1"/>
        <v>4.6582793271966252E-2</v>
      </c>
      <c r="N14" s="160">
        <f t="shared" si="1"/>
        <v>5.6330502078778391E-2</v>
      </c>
      <c r="O14" s="160">
        <f t="shared" si="1"/>
        <v>6.5965951952960677E-2</v>
      </c>
      <c r="P14" s="160">
        <f t="shared" si="1"/>
        <v>7.5502025996250915E-2</v>
      </c>
    </row>
    <row r="15" spans="1:16">
      <c r="A15" s="150">
        <v>24</v>
      </c>
      <c r="B15" s="150">
        <v>35554</v>
      </c>
      <c r="C15" s="150">
        <v>40500</v>
      </c>
      <c r="D15" s="150">
        <v>46275</v>
      </c>
      <c r="E15" s="150">
        <v>53041</v>
      </c>
      <c r="F15" s="150">
        <v>60979</v>
      </c>
      <c r="G15" s="150">
        <v>70267</v>
      </c>
      <c r="H15" s="150">
        <v>81145</v>
      </c>
      <c r="J15" s="160">
        <f t="shared" si="1"/>
        <v>1.7048056760092661E-2</v>
      </c>
      <c r="K15" s="160">
        <f t="shared" si="1"/>
        <v>2.7077052259726248E-2</v>
      </c>
      <c r="L15" s="160">
        <f t="shared" si="1"/>
        <v>3.6993137719759497E-2</v>
      </c>
      <c r="M15" s="160">
        <f t="shared" si="1"/>
        <v>4.6821638410541752E-2</v>
      </c>
      <c r="N15" s="160">
        <f t="shared" si="1"/>
        <v>5.6566835892175704E-2</v>
      </c>
      <c r="O15" s="160">
        <f t="shared" si="1"/>
        <v>6.6197710430483087E-2</v>
      </c>
      <c r="P15" s="160">
        <f t="shared" si="1"/>
        <v>7.5722529235788011E-2</v>
      </c>
    </row>
    <row r="16" spans="1:16">
      <c r="A16" s="150">
        <v>25</v>
      </c>
      <c r="B16" s="150">
        <v>37472</v>
      </c>
      <c r="C16" s="150">
        <v>42940</v>
      </c>
      <c r="D16" s="150">
        <v>49373</v>
      </c>
      <c r="E16" s="150">
        <v>56990</v>
      </c>
      <c r="F16" s="150">
        <v>65967</v>
      </c>
      <c r="G16" s="150">
        <v>76554</v>
      </c>
      <c r="H16" s="150">
        <v>89042</v>
      </c>
      <c r="J16" s="160">
        <f t="shared" si="1"/>
        <v>1.7243910219146126E-2</v>
      </c>
      <c r="K16" s="160">
        <f t="shared" si="1"/>
        <v>2.7270390314800514E-2</v>
      </c>
      <c r="L16" s="160">
        <f t="shared" si="1"/>
        <v>3.7186185158140192E-2</v>
      </c>
      <c r="M16" s="160">
        <f t="shared" si="1"/>
        <v>4.7042073779721097E-2</v>
      </c>
      <c r="N16" s="160">
        <f t="shared" si="1"/>
        <v>5.6782230229482644E-2</v>
      </c>
      <c r="O16" s="160">
        <f t="shared" si="1"/>
        <v>6.6410359537048172E-2</v>
      </c>
      <c r="P16" s="160">
        <f t="shared" si="1"/>
        <v>7.5926946445861343E-2</v>
      </c>
    </row>
    <row r="17" spans="1:16">
      <c r="A17" s="150">
        <v>26</v>
      </c>
      <c r="B17" s="150">
        <v>39431</v>
      </c>
      <c r="C17" s="150">
        <v>45461</v>
      </c>
      <c r="D17" s="150">
        <v>52621</v>
      </c>
      <c r="E17" s="150">
        <v>61149</v>
      </c>
      <c r="F17" s="150">
        <v>71270</v>
      </c>
      <c r="G17" s="150">
        <v>83298</v>
      </c>
      <c r="H17" s="150">
        <v>97597</v>
      </c>
      <c r="J17" s="160">
        <f t="shared" si="1"/>
        <v>1.7423117406359732E-2</v>
      </c>
      <c r="K17" s="160">
        <f t="shared" si="1"/>
        <v>2.7453504390468099E-2</v>
      </c>
      <c r="L17" s="160">
        <f t="shared" si="1"/>
        <v>3.7389161340999975E-2</v>
      </c>
      <c r="M17" s="160">
        <f t="shared" si="1"/>
        <v>4.7246541034110412E-2</v>
      </c>
      <c r="N17" s="160">
        <f t="shared" si="1"/>
        <v>5.6981542779052083E-2</v>
      </c>
      <c r="O17" s="160">
        <f t="shared" si="1"/>
        <v>6.6604421936458658E-2</v>
      </c>
      <c r="P17" s="160">
        <f t="shared" si="1"/>
        <v>7.6116382189845483E-2</v>
      </c>
    </row>
    <row r="18" spans="1:16">
      <c r="A18" s="150">
        <v>27</v>
      </c>
      <c r="B18" s="150">
        <v>41434</v>
      </c>
      <c r="C18" s="150">
        <v>48062</v>
      </c>
      <c r="D18" s="150">
        <v>56014</v>
      </c>
      <c r="E18" s="150">
        <v>65531</v>
      </c>
      <c r="F18" s="150">
        <v>76910</v>
      </c>
      <c r="G18" s="150">
        <v>90536</v>
      </c>
      <c r="H18" s="150">
        <v>106899</v>
      </c>
      <c r="J18" s="160">
        <f t="shared" si="1"/>
        <v>1.7591224507909654E-2</v>
      </c>
      <c r="K18" s="160">
        <f t="shared" si="1"/>
        <v>2.7621908339322279E-2</v>
      </c>
      <c r="L18" s="160">
        <f t="shared" si="1"/>
        <v>3.758423827002224E-2</v>
      </c>
      <c r="M18" s="160">
        <f t="shared" si="1"/>
        <v>4.7438368276823649E-2</v>
      </c>
      <c r="N18" s="160">
        <f t="shared" si="1"/>
        <v>5.7168067527809077E-2</v>
      </c>
      <c r="O18" s="160">
        <f t="shared" si="1"/>
        <v>6.6784576202883944E-2</v>
      </c>
      <c r="P18" s="160">
        <f t="shared" si="1"/>
        <v>7.6310395548767035E-2</v>
      </c>
    </row>
    <row r="19" spans="1:16">
      <c r="A19" s="150">
        <v>28</v>
      </c>
      <c r="B19" s="150">
        <v>43481</v>
      </c>
      <c r="C19" s="150">
        <v>50754</v>
      </c>
      <c r="D19" s="150">
        <v>59556</v>
      </c>
      <c r="E19" s="150">
        <v>70143</v>
      </c>
      <c r="F19" s="150">
        <v>82905</v>
      </c>
      <c r="G19" s="150">
        <v>98298</v>
      </c>
      <c r="H19" s="150">
        <v>116996</v>
      </c>
      <c r="J19" s="160">
        <f t="shared" si="1"/>
        <v>1.7747675890120211E-2</v>
      </c>
      <c r="K19" s="160">
        <f t="shared" si="1"/>
        <v>2.7787889269317884E-2</v>
      </c>
      <c r="L19" s="160">
        <f t="shared" si="1"/>
        <v>3.7768903768017718E-2</v>
      </c>
      <c r="M19" s="160">
        <f t="shared" si="1"/>
        <v>4.761439400670886E-2</v>
      </c>
      <c r="N19" s="160">
        <f t="shared" si="1"/>
        <v>5.7340517010542658E-2</v>
      </c>
      <c r="O19" s="160">
        <f t="shared" si="1"/>
        <v>6.6948675924005746E-2</v>
      </c>
      <c r="P19" s="160">
        <f t="shared" si="1"/>
        <v>7.6498159517602651E-2</v>
      </c>
    </row>
    <row r="20" spans="1:16">
      <c r="A20" s="150">
        <v>29</v>
      </c>
      <c r="B20" s="150">
        <v>45573</v>
      </c>
      <c r="C20" s="150">
        <v>53547</v>
      </c>
      <c r="D20" s="150">
        <v>63246</v>
      </c>
      <c r="E20" s="150">
        <v>75002</v>
      </c>
      <c r="F20" s="150">
        <v>89276</v>
      </c>
      <c r="G20" s="150">
        <v>106670</v>
      </c>
      <c r="H20" s="150">
        <v>127929</v>
      </c>
      <c r="J20" s="160">
        <f t="shared" si="1"/>
        <v>1.7893678578852358E-2</v>
      </c>
      <c r="K20" s="160">
        <f t="shared" si="1"/>
        <v>2.7958481129804535E-2</v>
      </c>
      <c r="L20" s="160">
        <f t="shared" si="1"/>
        <v>3.793681160038917E-2</v>
      </c>
      <c r="M20" s="160">
        <f t="shared" si="1"/>
        <v>4.7780163110613449E-2</v>
      </c>
      <c r="N20" s="160">
        <f t="shared" si="1"/>
        <v>5.7499543461108943E-2</v>
      </c>
      <c r="O20" s="160">
        <f t="shared" si="1"/>
        <v>6.7122691597446618E-2</v>
      </c>
      <c r="P20" s="160">
        <f t="shared" si="1"/>
        <v>7.6668388543666963E-2</v>
      </c>
    </row>
    <row r="21" spans="1:16">
      <c r="A21" s="150">
        <v>30</v>
      </c>
      <c r="B21" s="150">
        <v>47709</v>
      </c>
      <c r="C21" s="150">
        <v>56437</v>
      </c>
      <c r="D21" s="150">
        <v>67098</v>
      </c>
      <c r="E21" s="150">
        <v>80116</v>
      </c>
      <c r="F21" s="150">
        <v>96046</v>
      </c>
      <c r="G21" s="150">
        <v>115670</v>
      </c>
      <c r="H21" s="150">
        <v>139779</v>
      </c>
      <c r="J21" s="160">
        <f t="shared" si="1"/>
        <v>1.8027673409913958E-2</v>
      </c>
      <c r="K21" s="160">
        <f t="shared" si="1"/>
        <v>2.8123522177375911E-2</v>
      </c>
      <c r="L21" s="160">
        <f t="shared" si="1"/>
        <v>3.8096609800518766E-2</v>
      </c>
      <c r="M21" s="160">
        <f t="shared" si="1"/>
        <v>4.7932899382648969E-2</v>
      </c>
      <c r="N21" s="160">
        <f t="shared" si="1"/>
        <v>5.764628291126369E-2</v>
      </c>
      <c r="O21" s="160">
        <f t="shared" si="1"/>
        <v>6.728997353093813E-2</v>
      </c>
      <c r="P21" s="160">
        <f t="shared" si="1"/>
        <v>7.6827485699820036E-2</v>
      </c>
    </row>
    <row r="22" spans="1:16">
      <c r="A22" s="150">
        <v>31</v>
      </c>
      <c r="B22" s="150">
        <v>49894</v>
      </c>
      <c r="C22" s="150">
        <v>59418</v>
      </c>
      <c r="D22" s="150">
        <v>71109</v>
      </c>
      <c r="E22" s="150">
        <v>85500</v>
      </c>
      <c r="F22" s="150">
        <v>103267</v>
      </c>
      <c r="G22" s="150">
        <v>125338</v>
      </c>
      <c r="H22" s="150">
        <v>152624</v>
      </c>
      <c r="J22" s="160">
        <f t="shared" si="1"/>
        <v>1.8155872969534803E-2</v>
      </c>
      <c r="K22" s="160">
        <f t="shared" si="1"/>
        <v>2.8274032089062619E-2</v>
      </c>
      <c r="L22" s="160">
        <f t="shared" si="1"/>
        <v>3.8241009139957732E-2</v>
      </c>
      <c r="M22" s="160">
        <f t="shared" si="1"/>
        <v>4.8075021450298766E-2</v>
      </c>
      <c r="N22" s="160">
        <f t="shared" si="1"/>
        <v>5.7795300479216334E-2</v>
      </c>
      <c r="O22" s="160">
        <f t="shared" si="1"/>
        <v>6.7447773746728917E-2</v>
      </c>
      <c r="P22" s="160">
        <f t="shared" si="1"/>
        <v>7.6976760449924256E-2</v>
      </c>
    </row>
    <row r="23" spans="1:16">
      <c r="A23" s="150">
        <v>32</v>
      </c>
      <c r="B23" s="150">
        <v>52147</v>
      </c>
      <c r="C23" s="150">
        <v>62501</v>
      </c>
      <c r="D23" s="150">
        <v>75298</v>
      </c>
      <c r="E23" s="150">
        <v>91173</v>
      </c>
      <c r="F23" s="150">
        <v>110976</v>
      </c>
      <c r="G23" s="150">
        <v>135710</v>
      </c>
      <c r="H23" s="150">
        <v>166536</v>
      </c>
      <c r="J23" s="160">
        <f t="shared" si="1"/>
        <v>1.8298161187301674E-2</v>
      </c>
      <c r="K23" s="160">
        <f t="shared" si="1"/>
        <v>2.8418841321477852E-2</v>
      </c>
      <c r="L23" s="160">
        <f t="shared" si="1"/>
        <v>3.8380587446389169E-2</v>
      </c>
      <c r="M23" s="160">
        <f t="shared" si="1"/>
        <v>4.8210188306131677E-2</v>
      </c>
      <c r="N23" s="160">
        <f t="shared" si="1"/>
        <v>5.7948170253298417E-2</v>
      </c>
      <c r="O23" s="160">
        <f t="shared" si="1"/>
        <v>6.7592046273392936E-2</v>
      </c>
      <c r="P23" s="160">
        <f t="shared" si="1"/>
        <v>7.7113826702156191E-2</v>
      </c>
    </row>
    <row r="24" spans="1:16">
      <c r="A24" s="150">
        <v>33</v>
      </c>
      <c r="B24" s="150">
        <v>54456</v>
      </c>
      <c r="C24" s="150">
        <v>65679</v>
      </c>
      <c r="D24" s="150">
        <v>79667</v>
      </c>
      <c r="E24" s="150">
        <v>97144</v>
      </c>
      <c r="F24" s="150">
        <v>119177</v>
      </c>
      <c r="G24" s="150">
        <v>146849</v>
      </c>
      <c r="H24" s="150">
        <v>181627</v>
      </c>
      <c r="J24" s="160">
        <f t="shared" si="1"/>
        <v>1.8437077945548344E-2</v>
      </c>
      <c r="K24" s="160">
        <f t="shared" si="1"/>
        <v>2.8549687268187858E-2</v>
      </c>
      <c r="L24" s="160">
        <f t="shared" si="1"/>
        <v>3.8511616030473671E-2</v>
      </c>
      <c r="M24" s="160">
        <f t="shared" si="1"/>
        <v>4.8335547480055932E-2</v>
      </c>
      <c r="N24" s="160">
        <f t="shared" si="1"/>
        <v>5.8091757888687784E-2</v>
      </c>
      <c r="O24" s="160">
        <f t="shared" si="1"/>
        <v>6.7727990517942011E-2</v>
      </c>
      <c r="P24" s="160">
        <f t="shared" si="1"/>
        <v>7.7245733618243551E-2</v>
      </c>
    </row>
    <row r="25" spans="1:16">
      <c r="A25" s="150">
        <v>34</v>
      </c>
      <c r="B25" s="150">
        <v>56813</v>
      </c>
      <c r="C25" s="150">
        <v>68960</v>
      </c>
      <c r="D25" s="150">
        <v>84217</v>
      </c>
      <c r="E25" s="150">
        <v>103457</v>
      </c>
      <c r="F25" s="150">
        <v>127893</v>
      </c>
      <c r="G25" s="150">
        <v>158808</v>
      </c>
      <c r="H25" s="150">
        <v>197981</v>
      </c>
      <c r="J25" s="160">
        <f t="shared" si="1"/>
        <v>1.8563619726259764E-2</v>
      </c>
      <c r="K25" s="160">
        <f t="shared" si="1"/>
        <v>2.8672013340271779E-2</v>
      </c>
      <c r="L25" s="160">
        <f t="shared" si="1"/>
        <v>3.8630933180995988E-2</v>
      </c>
      <c r="M25" s="160">
        <f t="shared" si="1"/>
        <v>4.8464934312296835E-2</v>
      </c>
      <c r="N25" s="160">
        <f t="shared" si="1"/>
        <v>5.8223864728647143E-2</v>
      </c>
      <c r="O25" s="160">
        <f t="shared" si="1"/>
        <v>6.7855215153087928E-2</v>
      </c>
      <c r="P25" s="160">
        <f t="shared" si="1"/>
        <v>7.7369104414317685E-2</v>
      </c>
    </row>
    <row r="26" spans="1:16">
      <c r="A26" s="150">
        <v>35</v>
      </c>
      <c r="B26" s="150">
        <v>59224</v>
      </c>
      <c r="C26" s="150">
        <v>72354</v>
      </c>
      <c r="D26" s="150">
        <v>88969</v>
      </c>
      <c r="E26" s="150">
        <v>110130</v>
      </c>
      <c r="F26" s="150">
        <v>137176</v>
      </c>
      <c r="G26" s="150">
        <v>171655</v>
      </c>
      <c r="H26" s="150">
        <v>215785</v>
      </c>
      <c r="J26" s="160">
        <f t="shared" si="1"/>
        <v>1.8683579349692551E-2</v>
      </c>
      <c r="K26" s="160">
        <f t="shared" si="1"/>
        <v>2.8791144537871009E-2</v>
      </c>
      <c r="L26" s="160">
        <f t="shared" si="1"/>
        <v>3.874704319147107E-2</v>
      </c>
      <c r="M26" s="160">
        <f t="shared" si="1"/>
        <v>4.8596264720942528E-2</v>
      </c>
      <c r="N26" s="160">
        <f t="shared" si="1"/>
        <v>5.8351990112576843E-2</v>
      </c>
      <c r="O26" s="160">
        <f t="shared" si="1"/>
        <v>6.7976370247678483E-2</v>
      </c>
      <c r="P26" s="160">
        <f t="shared" si="1"/>
        <v>7.750016103442052E-2</v>
      </c>
    </row>
    <row r="27" spans="1:16">
      <c r="A27" s="150">
        <v>36</v>
      </c>
      <c r="B27" s="150">
        <v>61692</v>
      </c>
      <c r="C27" s="150">
        <v>75856</v>
      </c>
      <c r="D27" s="150">
        <v>93916</v>
      </c>
      <c r="E27" s="150">
        <v>117162</v>
      </c>
      <c r="F27" s="150">
        <v>147039</v>
      </c>
      <c r="G27" s="150">
        <v>185434</v>
      </c>
      <c r="H27" s="150">
        <v>235081</v>
      </c>
      <c r="J27" s="160">
        <f t="shared" si="1"/>
        <v>1.8798876380907614E-2</v>
      </c>
      <c r="K27" s="160">
        <f t="shared" si="1"/>
        <v>2.8901420345839184E-2</v>
      </c>
      <c r="L27" s="160">
        <f t="shared" si="1"/>
        <v>3.885212565086224E-2</v>
      </c>
      <c r="M27" s="160">
        <f t="shared" si="1"/>
        <v>4.872045802305823E-2</v>
      </c>
      <c r="N27" s="160">
        <f t="shared" si="1"/>
        <v>5.846923013123094E-2</v>
      </c>
      <c r="O27" s="160">
        <f t="shared" si="1"/>
        <v>6.8086963995121347E-2</v>
      </c>
      <c r="P27" s="160">
        <f t="shared" si="1"/>
        <v>7.7622074130210911E-2</v>
      </c>
    </row>
    <row r="28" spans="1:16">
      <c r="A28" s="150">
        <v>37</v>
      </c>
      <c r="B28" s="150">
        <v>64214</v>
      </c>
      <c r="C28" s="150">
        <v>79477</v>
      </c>
      <c r="D28" s="150">
        <v>99085</v>
      </c>
      <c r="E28" s="150">
        <v>124573</v>
      </c>
      <c r="F28" s="150">
        <v>157528</v>
      </c>
      <c r="G28" s="150">
        <v>200246</v>
      </c>
      <c r="H28" s="150">
        <v>256039</v>
      </c>
      <c r="J28" s="160">
        <f t="shared" si="1"/>
        <v>1.8906426975083476E-2</v>
      </c>
      <c r="K28" s="160">
        <f t="shared" si="1"/>
        <v>2.900813213282586E-2</v>
      </c>
      <c r="L28" s="160">
        <f t="shared" si="1"/>
        <v>3.8955920249155146E-2</v>
      </c>
      <c r="M28" s="160">
        <f t="shared" si="1"/>
        <v>4.8838279080850297E-2</v>
      </c>
      <c r="N28" s="160">
        <f t="shared" si="1"/>
        <v>5.8579321052937672E-2</v>
      </c>
      <c r="O28" s="160">
        <f t="shared" si="1"/>
        <v>6.819477477758408E-2</v>
      </c>
      <c r="P28" s="160">
        <f t="shared" si="1"/>
        <v>7.7742453387511706E-2</v>
      </c>
    </row>
    <row r="29" spans="1:16">
      <c r="A29" s="150">
        <v>38</v>
      </c>
      <c r="B29" s="150">
        <v>66792</v>
      </c>
      <c r="C29" s="150">
        <v>83210</v>
      </c>
      <c r="D29" s="150">
        <v>104513</v>
      </c>
      <c r="E29" s="150">
        <v>132384</v>
      </c>
      <c r="F29" s="150">
        <v>168700</v>
      </c>
      <c r="G29" s="150">
        <v>216241</v>
      </c>
      <c r="H29" s="150">
        <v>278753</v>
      </c>
      <c r="J29" s="160">
        <f t="shared" si="1"/>
        <v>1.9007536087106883E-2</v>
      </c>
      <c r="K29" s="160">
        <f t="shared" si="1"/>
        <v>2.9105410496320351E-2</v>
      </c>
      <c r="L29" s="160">
        <f t="shared" si="1"/>
        <v>3.9069190460085196E-2</v>
      </c>
      <c r="M29" s="160">
        <f t="shared" si="1"/>
        <v>4.8950347347459962E-2</v>
      </c>
      <c r="N29" s="160">
        <f t="shared" si="1"/>
        <v>5.8686905432643058E-2</v>
      </c>
      <c r="O29" s="160">
        <f t="shared" si="1"/>
        <v>6.8312466707015587E-2</v>
      </c>
      <c r="P29" s="160">
        <f t="shared" si="1"/>
        <v>7.7854309748746284E-2</v>
      </c>
    </row>
    <row r="30" spans="1:16">
      <c r="A30" s="150">
        <v>39</v>
      </c>
      <c r="B30" s="150">
        <v>69428</v>
      </c>
      <c r="C30" s="150">
        <v>87072</v>
      </c>
      <c r="D30" s="150">
        <v>110188</v>
      </c>
      <c r="E30" s="150">
        <v>140609</v>
      </c>
      <c r="F30" s="150">
        <v>180573</v>
      </c>
      <c r="G30" s="150">
        <v>233419</v>
      </c>
      <c r="H30" s="150">
        <v>303383</v>
      </c>
      <c r="J30" s="160">
        <f t="shared" si="1"/>
        <v>1.9103253394575213E-2</v>
      </c>
      <c r="K30" s="160">
        <f t="shared" si="1"/>
        <v>2.9201036978991034E-2</v>
      </c>
      <c r="L30" s="160">
        <f t="shared" si="1"/>
        <v>3.9180624986528703E-2</v>
      </c>
      <c r="M30" s="160">
        <f t="shared" si="1"/>
        <v>4.9054896601192131E-2</v>
      </c>
      <c r="N30" s="160">
        <f t="shared" si="1"/>
        <v>5.87862405051102E-2</v>
      </c>
      <c r="O30" s="160">
        <f t="shared" si="1"/>
        <v>6.8422826369139156E-2</v>
      </c>
      <c r="P30" s="160">
        <f t="shared" si="1"/>
        <v>7.7959998290393656E-2</v>
      </c>
    </row>
    <row r="31" spans="1:16">
      <c r="A31" s="150">
        <v>40</v>
      </c>
      <c r="B31" s="150">
        <v>72123</v>
      </c>
      <c r="C31" s="150">
        <v>91058</v>
      </c>
      <c r="D31" s="150">
        <v>116106</v>
      </c>
      <c r="E31" s="150">
        <v>149280</v>
      </c>
      <c r="F31" s="150">
        <v>193206</v>
      </c>
      <c r="G31" s="150">
        <v>251897</v>
      </c>
      <c r="H31" s="150">
        <v>330249</v>
      </c>
      <c r="J31" s="160">
        <f t="shared" si="1"/>
        <v>1.919380476771413E-2</v>
      </c>
      <c r="K31" s="160">
        <f t="shared" si="1"/>
        <v>2.9290485577848753E-2</v>
      </c>
      <c r="L31" s="160">
        <f t="shared" si="1"/>
        <v>3.928474727242668E-2</v>
      </c>
      <c r="M31" s="160">
        <f t="shared" si="1"/>
        <v>4.9155210565764856E-2</v>
      </c>
      <c r="N31" s="160">
        <f t="shared" si="1"/>
        <v>5.8881043107146015E-2</v>
      </c>
      <c r="O31" s="160">
        <f t="shared" si="1"/>
        <v>6.8530679794939986E-2</v>
      </c>
      <c r="P31" s="160">
        <f t="shared" si="1"/>
        <v>7.8076645772539657E-2</v>
      </c>
    </row>
    <row r="32" spans="1:16">
      <c r="A32" s="150">
        <v>41</v>
      </c>
      <c r="B32" s="150">
        <v>75058</v>
      </c>
      <c r="C32" s="150">
        <v>95400</v>
      </c>
      <c r="D32" s="150">
        <v>122576</v>
      </c>
      <c r="E32" s="150">
        <v>158790</v>
      </c>
      <c r="F32" s="150">
        <v>207183</v>
      </c>
      <c r="G32" s="150">
        <v>272372</v>
      </c>
      <c r="H32" s="150">
        <v>360250</v>
      </c>
      <c r="J32" s="160">
        <f t="shared" si="1"/>
        <v>1.9383350243585028E-2</v>
      </c>
      <c r="K32" s="160">
        <f t="shared" si="1"/>
        <v>2.9472304796843589E-2</v>
      </c>
      <c r="L32" s="160">
        <f t="shared" si="1"/>
        <v>3.9477254873986949E-2</v>
      </c>
      <c r="M32" s="160">
        <f t="shared" si="1"/>
        <v>4.9338214255478262E-2</v>
      </c>
      <c r="N32" s="160">
        <f t="shared" si="1"/>
        <v>5.9064429178877033E-2</v>
      </c>
      <c r="O32" s="160">
        <f t="shared" si="1"/>
        <v>6.8712218313540852E-2</v>
      </c>
      <c r="P32" s="160">
        <f t="shared" si="1"/>
        <v>7.8266961154808912E-2</v>
      </c>
    </row>
    <row r="33" spans="1:16">
      <c r="A33" s="150">
        <v>42</v>
      </c>
      <c r="B33" s="150">
        <v>78086</v>
      </c>
      <c r="C33" s="150">
        <v>99922</v>
      </c>
      <c r="D33" s="150">
        <v>129377</v>
      </c>
      <c r="E33" s="150">
        <v>168876</v>
      </c>
      <c r="F33" s="150">
        <v>222201</v>
      </c>
      <c r="G33" s="150">
        <v>294500</v>
      </c>
      <c r="H33" s="150">
        <v>392965</v>
      </c>
      <c r="J33" s="160">
        <f t="shared" si="1"/>
        <v>1.9572186629967309E-2</v>
      </c>
      <c r="K33" s="160">
        <f t="shared" si="1"/>
        <v>2.965420428942285E-2</v>
      </c>
      <c r="L33" s="160">
        <f t="shared" si="1"/>
        <v>3.9668292830213184E-2</v>
      </c>
      <c r="M33" s="160">
        <f t="shared" si="1"/>
        <v>4.9519682358409207E-2</v>
      </c>
      <c r="N33" s="160">
        <f t="shared" si="1"/>
        <v>5.9254746610659589E-2</v>
      </c>
      <c r="O33" s="160">
        <f t="shared" si="1"/>
        <v>6.8892549468927727E-2</v>
      </c>
      <c r="P33" s="160">
        <f t="shared" si="1"/>
        <v>7.8453928002842468E-2</v>
      </c>
    </row>
    <row r="34" spans="1:16">
      <c r="A34" s="150">
        <v>43</v>
      </c>
      <c r="B34" s="150">
        <v>81195</v>
      </c>
      <c r="C34" s="150">
        <v>104656</v>
      </c>
      <c r="D34" s="150">
        <v>136497</v>
      </c>
      <c r="E34" s="150">
        <v>179536</v>
      </c>
      <c r="F34" s="150">
        <v>238231</v>
      </c>
      <c r="G34" s="150">
        <v>318460</v>
      </c>
      <c r="H34" s="150">
        <v>428557</v>
      </c>
      <c r="J34" s="160">
        <f t="shared" si="1"/>
        <v>1.9752239968308251E-2</v>
      </c>
      <c r="K34" s="160">
        <f t="shared" si="1"/>
        <v>2.9844588029622372E-2</v>
      </c>
      <c r="L34" s="160">
        <f t="shared" si="1"/>
        <v>3.9849541937290317E-2</v>
      </c>
      <c r="M34" s="160">
        <f t="shared" si="1"/>
        <v>4.9691863765769034E-2</v>
      </c>
      <c r="N34" s="160">
        <f t="shared" si="1"/>
        <v>5.9435008618610188E-2</v>
      </c>
      <c r="O34" s="160">
        <f t="shared" si="1"/>
        <v>6.9075666256449175E-2</v>
      </c>
      <c r="P34" s="160">
        <f t="shared" si="1"/>
        <v>7.8631017490916943E-2</v>
      </c>
    </row>
    <row r="35" spans="1:16">
      <c r="A35" s="150">
        <v>44</v>
      </c>
      <c r="B35" s="150">
        <v>84385</v>
      </c>
      <c r="C35" s="150">
        <v>109568</v>
      </c>
      <c r="D35" s="150">
        <v>143949</v>
      </c>
      <c r="E35" s="150">
        <v>190800</v>
      </c>
      <c r="F35" s="150">
        <v>255336</v>
      </c>
      <c r="G35" s="150">
        <v>344319</v>
      </c>
      <c r="H35" s="150">
        <v>467267</v>
      </c>
      <c r="J35" s="160">
        <f t="shared" si="1"/>
        <v>1.9923070203314741E-2</v>
      </c>
      <c r="K35" s="160">
        <f t="shared" si="1"/>
        <v>3.0026640456075997E-2</v>
      </c>
      <c r="L35" s="160">
        <f t="shared" si="1"/>
        <v>4.00212172506757E-2</v>
      </c>
      <c r="M35" s="160">
        <f t="shared" si="1"/>
        <v>4.9854939930766243E-2</v>
      </c>
      <c r="N35" s="160">
        <f t="shared" si="1"/>
        <v>5.9605281669057313E-2</v>
      </c>
      <c r="O35" s="160">
        <f t="shared" si="1"/>
        <v>6.9252484419947163E-2</v>
      </c>
      <c r="P35" s="160">
        <f t="shared" si="1"/>
        <v>7.8798153703428686E-2</v>
      </c>
    </row>
    <row r="36" spans="1:16">
      <c r="A36" s="150">
        <v>45</v>
      </c>
      <c r="B36" s="150">
        <v>87659</v>
      </c>
      <c r="C36" s="150">
        <v>114661</v>
      </c>
      <c r="D36" s="150">
        <v>151751</v>
      </c>
      <c r="E36" s="150">
        <v>202720</v>
      </c>
      <c r="F36" s="150">
        <v>273594</v>
      </c>
      <c r="G36" s="150">
        <v>372192</v>
      </c>
      <c r="H36" s="150">
        <v>509378</v>
      </c>
      <c r="J36" s="160">
        <f t="shared" si="1"/>
        <v>2.0085745265294937E-2</v>
      </c>
      <c r="K36" s="160">
        <f t="shared" si="1"/>
        <v>3.0199688305371841E-2</v>
      </c>
      <c r="L36" s="160">
        <f t="shared" si="1"/>
        <v>4.0184603617974414E-2</v>
      </c>
      <c r="M36" s="160">
        <f t="shared" si="1"/>
        <v>5.0012492956574353E-2</v>
      </c>
      <c r="N36" s="160">
        <f t="shared" si="1"/>
        <v>5.9767025635727514E-2</v>
      </c>
      <c r="O36" s="160">
        <f t="shared" si="1"/>
        <v>6.9420224566497518E-2</v>
      </c>
      <c r="P36" s="160">
        <f t="shared" si="1"/>
        <v>7.895669997659556E-2</v>
      </c>
    </row>
    <row r="37" spans="1:16">
      <c r="A37" s="150">
        <v>46</v>
      </c>
      <c r="B37" s="150">
        <v>91020</v>
      </c>
      <c r="C37" s="150">
        <v>119943</v>
      </c>
      <c r="D37" s="150">
        <v>159918</v>
      </c>
      <c r="E37" s="150">
        <v>215410</v>
      </c>
      <c r="F37" s="150">
        <v>293084</v>
      </c>
      <c r="G37" s="150">
        <v>402238</v>
      </c>
      <c r="H37" s="150">
        <v>555192</v>
      </c>
      <c r="J37" s="160">
        <f>RATE($A37*12,-100,0,B37)*12</f>
        <v>2.0241149841209529E-2</v>
      </c>
      <c r="K37" s="160">
        <f t="shared" si="1"/>
        <v>3.036475592895254E-2</v>
      </c>
      <c r="L37" s="160">
        <f t="shared" si="1"/>
        <v>4.0339955529697338E-2</v>
      </c>
      <c r="M37" s="160">
        <f t="shared" si="1"/>
        <v>5.0176068564576938E-2</v>
      </c>
      <c r="N37" s="160">
        <f t="shared" si="1"/>
        <v>5.9920965251596278E-2</v>
      </c>
      <c r="O37" s="160">
        <f t="shared" si="1"/>
        <v>6.9579690421520082E-2</v>
      </c>
      <c r="P37" s="160">
        <f t="shared" si="1"/>
        <v>7.9107433811832523E-2</v>
      </c>
    </row>
    <row r="38" spans="1:16">
      <c r="A38" s="150">
        <v>47</v>
      </c>
      <c r="B38" s="150">
        <v>94468</v>
      </c>
      <c r="C38" s="150">
        <v>125418</v>
      </c>
      <c r="D38" s="150">
        <v>168467</v>
      </c>
      <c r="E38" s="150">
        <v>228826</v>
      </c>
      <c r="F38" s="150">
        <v>313973</v>
      </c>
      <c r="G38" s="150">
        <v>434618</v>
      </c>
      <c r="H38" s="150">
        <v>605023</v>
      </c>
      <c r="J38" s="160">
        <f t="shared" si="1"/>
        <v>2.0388845552485622E-2</v>
      </c>
      <c r="K38" s="160">
        <f t="shared" si="1"/>
        <v>3.0521527960252353E-2</v>
      </c>
      <c r="L38" s="160">
        <f t="shared" si="1"/>
        <v>4.0487811064268603E-2</v>
      </c>
      <c r="M38" s="160">
        <f t="shared" si="1"/>
        <v>5.0331396423146019E-2</v>
      </c>
      <c r="N38" s="160">
        <f t="shared" si="1"/>
        <v>6.0075689924541931E-2</v>
      </c>
      <c r="O38" s="160">
        <f t="shared" si="1"/>
        <v>6.9730877953055256E-2</v>
      </c>
      <c r="P38" s="160">
        <f t="shared" si="1"/>
        <v>7.9250338189885E-2</v>
      </c>
    </row>
    <row r="39" spans="1:16">
      <c r="A39" s="150">
        <v>48</v>
      </c>
      <c r="B39" s="150">
        <v>98009</v>
      </c>
      <c r="C39" s="150">
        <v>131096</v>
      </c>
      <c r="D39" s="150">
        <v>177418</v>
      </c>
      <c r="E39" s="150">
        <v>243013</v>
      </c>
      <c r="F39" s="150">
        <v>336349</v>
      </c>
      <c r="G39" s="150">
        <v>469524</v>
      </c>
      <c r="H39" s="150">
        <v>659238</v>
      </c>
      <c r="J39" s="160">
        <f t="shared" si="1"/>
        <v>2.0530751749655234E-2</v>
      </c>
      <c r="K39" s="160">
        <f t="shared" si="1"/>
        <v>3.0671351808871684E-2</v>
      </c>
      <c r="L39" s="160">
        <f t="shared" si="1"/>
        <v>4.062906164786876E-2</v>
      </c>
      <c r="M39" s="160">
        <f t="shared" si="1"/>
        <v>5.0479492572221188E-2</v>
      </c>
      <c r="N39" s="160">
        <f t="shared" si="1"/>
        <v>6.0229410717278879E-2</v>
      </c>
      <c r="O39" s="160">
        <f t="shared" si="1"/>
        <v>6.9875035801378133E-2</v>
      </c>
      <c r="P39" s="160">
        <f t="shared" si="1"/>
        <v>7.9386604243682268E-2</v>
      </c>
    </row>
    <row r="40" spans="1:16">
      <c r="A40" s="150">
        <v>49</v>
      </c>
      <c r="B40" s="150">
        <v>101664</v>
      </c>
      <c r="C40" s="150">
        <v>136983</v>
      </c>
      <c r="D40" s="150">
        <v>186788</v>
      </c>
      <c r="E40" s="150">
        <v>258012</v>
      </c>
      <c r="F40" s="150">
        <v>360241</v>
      </c>
      <c r="G40" s="150">
        <v>507144</v>
      </c>
      <c r="H40" s="150">
        <v>718207</v>
      </c>
      <c r="J40" s="160">
        <f t="shared" si="1"/>
        <v>2.0673576234260419E-2</v>
      </c>
      <c r="K40" s="160">
        <f t="shared" si="1"/>
        <v>3.0814293240721193E-2</v>
      </c>
      <c r="L40" s="160">
        <f t="shared" si="1"/>
        <v>4.07637986902036E-2</v>
      </c>
      <c r="M40" s="160">
        <f t="shared" si="1"/>
        <v>5.0620440329335603E-2</v>
      </c>
      <c r="N40" s="160">
        <f t="shared" ref="N40:P51" si="2">RATE($A40*12,-100,0,F40)*12</f>
        <v>6.0375577223965637E-2</v>
      </c>
      <c r="O40" s="160">
        <f t="shared" si="2"/>
        <v>7.001211544687827E-2</v>
      </c>
      <c r="P40" s="160">
        <f t="shared" si="2"/>
        <v>7.9516063182924979E-2</v>
      </c>
    </row>
    <row r="41" spans="1:16">
      <c r="A41" s="150">
        <v>50</v>
      </c>
      <c r="B41" s="150">
        <v>105445</v>
      </c>
      <c r="C41" s="150">
        <v>143086</v>
      </c>
      <c r="D41" s="150">
        <v>196595</v>
      </c>
      <c r="E41" s="150">
        <v>273869</v>
      </c>
      <c r="F41" s="150">
        <v>385751</v>
      </c>
      <c r="G41" s="150">
        <v>547687</v>
      </c>
      <c r="H41" s="150">
        <v>782348</v>
      </c>
      <c r="J41" s="160">
        <f t="shared" ref="J41:M51" si="3">RATE($A41*12,-100,0,B41)*12</f>
        <v>2.0819560089736823E-2</v>
      </c>
      <c r="K41" s="160">
        <f t="shared" si="3"/>
        <v>3.095064229935247E-2</v>
      </c>
      <c r="L41" s="160">
        <f t="shared" si="3"/>
        <v>4.0892191788598528E-2</v>
      </c>
      <c r="M41" s="160">
        <f t="shared" si="3"/>
        <v>5.0754670057056472E-2</v>
      </c>
      <c r="N41" s="160">
        <f t="shared" si="2"/>
        <v>6.0514655679966098E-2</v>
      </c>
      <c r="O41" s="160">
        <f t="shared" si="2"/>
        <v>7.0142503021344296E-2</v>
      </c>
      <c r="P41" s="160">
        <f t="shared" si="2"/>
        <v>7.9639232389468656E-2</v>
      </c>
    </row>
    <row r="42" spans="1:16">
      <c r="A42" s="150">
        <v>51</v>
      </c>
      <c r="B42" s="150">
        <v>109329</v>
      </c>
      <c r="C42" s="150">
        <v>149414</v>
      </c>
      <c r="D42" s="150">
        <v>206923</v>
      </c>
      <c r="E42" s="150">
        <v>290639</v>
      </c>
      <c r="F42" s="150">
        <v>412997</v>
      </c>
      <c r="G42" s="150">
        <v>591394</v>
      </c>
      <c r="H42" s="150">
        <v>852135</v>
      </c>
      <c r="J42" s="160">
        <f t="shared" si="3"/>
        <v>2.0959623647735744E-2</v>
      </c>
      <c r="K42" s="160">
        <f t="shared" si="3"/>
        <v>3.1081053355308929E-2</v>
      </c>
      <c r="L42" s="160">
        <f t="shared" si="3"/>
        <v>4.1023801328363793E-2</v>
      </c>
      <c r="M42" s="160">
        <f t="shared" si="3"/>
        <v>5.0883205987279016E-2</v>
      </c>
      <c r="N42" s="160">
        <f t="shared" si="2"/>
        <v>6.0647682324351818E-2</v>
      </c>
      <c r="O42" s="160">
        <f t="shared" si="2"/>
        <v>7.0267275927603137E-2</v>
      </c>
      <c r="P42" s="160">
        <f t="shared" si="2"/>
        <v>7.9757155437666483E-2</v>
      </c>
    </row>
    <row r="43" spans="1:16">
      <c r="A43" s="150">
        <v>52</v>
      </c>
      <c r="B43" s="150">
        <v>113316</v>
      </c>
      <c r="C43" s="150">
        <v>155976</v>
      </c>
      <c r="D43" s="150">
        <v>217782</v>
      </c>
      <c r="E43" s="150">
        <v>308432</v>
      </c>
      <c r="F43" s="150">
        <v>442088</v>
      </c>
      <c r="G43" s="150">
        <v>638495</v>
      </c>
      <c r="H43" s="150">
        <v>928041</v>
      </c>
      <c r="J43" s="160">
        <f t="shared" si="3"/>
        <v>2.1093298542405513E-2</v>
      </c>
      <c r="K43" s="160">
        <f t="shared" si="3"/>
        <v>3.1206029342829011E-2</v>
      </c>
      <c r="L43" s="160">
        <f t="shared" si="3"/>
        <v>4.1155513861839112E-2</v>
      </c>
      <c r="M43" s="160">
        <f t="shared" si="3"/>
        <v>5.1011533650546378E-2</v>
      </c>
      <c r="N43" s="160">
        <f t="shared" si="2"/>
        <v>6.0774467497101289E-2</v>
      </c>
      <c r="O43" s="160">
        <f t="shared" si="2"/>
        <v>7.0386079739549856E-2</v>
      </c>
      <c r="P43" s="160">
        <f t="shared" si="2"/>
        <v>7.9869484878120442E-2</v>
      </c>
    </row>
    <row r="44" spans="1:16">
      <c r="A44" s="150">
        <v>53</v>
      </c>
      <c r="B44" s="150">
        <v>117411</v>
      </c>
      <c r="C44" s="150">
        <v>162779</v>
      </c>
      <c r="D44" s="150">
        <v>229157</v>
      </c>
      <c r="E44" s="150">
        <v>327346</v>
      </c>
      <c r="F44" s="150">
        <v>473157</v>
      </c>
      <c r="G44" s="150">
        <v>689270</v>
      </c>
      <c r="H44" s="150">
        <v>1010622</v>
      </c>
      <c r="J44" s="160">
        <f t="shared" si="3"/>
        <v>2.1221615446963105E-2</v>
      </c>
      <c r="K44" s="160">
        <f t="shared" si="3"/>
        <v>3.1325584472534376E-2</v>
      </c>
      <c r="L44" s="160">
        <f t="shared" si="3"/>
        <v>4.1281721045341647E-2</v>
      </c>
      <c r="M44" s="160">
        <f t="shared" si="3"/>
        <v>5.1142225426732718E-2</v>
      </c>
      <c r="N44" s="160">
        <f t="shared" si="2"/>
        <v>6.0895863688281204E-2</v>
      </c>
      <c r="O44" s="160">
        <f t="shared" si="2"/>
        <v>7.0499916793560019E-2</v>
      </c>
      <c r="P44" s="160">
        <f t="shared" si="2"/>
        <v>7.9977068426997575E-2</v>
      </c>
    </row>
    <row r="45" spans="1:16">
      <c r="A45" s="150">
        <v>54</v>
      </c>
      <c r="B45" s="150">
        <v>121615</v>
      </c>
      <c r="C45" s="150">
        <v>169833</v>
      </c>
      <c r="D45" s="150">
        <v>241068</v>
      </c>
      <c r="E45" s="150">
        <v>347353</v>
      </c>
      <c r="F45" s="150">
        <v>506329</v>
      </c>
      <c r="G45" s="150">
        <v>743988</v>
      </c>
      <c r="H45" s="150">
        <v>1100441</v>
      </c>
      <c r="J45" s="160">
        <f t="shared" si="3"/>
        <v>2.1344385141553297E-2</v>
      </c>
      <c r="K45" s="160">
        <f t="shared" si="3"/>
        <v>3.1440247915877899E-2</v>
      </c>
      <c r="L45" s="160">
        <f t="shared" si="3"/>
        <v>4.1402223759596131E-2</v>
      </c>
      <c r="M45" s="160">
        <f t="shared" si="3"/>
        <v>5.1267110835739663E-2</v>
      </c>
      <c r="N45" s="160">
        <f t="shared" si="2"/>
        <v>6.1011710153778487E-2</v>
      </c>
      <c r="O45" s="160">
        <f t="shared" si="2"/>
        <v>7.0608489373600036E-2</v>
      </c>
      <c r="P45" s="160">
        <f t="shared" si="2"/>
        <v>8.0079659460880706E-2</v>
      </c>
    </row>
    <row r="46" spans="1:16">
      <c r="A46" s="150">
        <v>55</v>
      </c>
      <c r="B46" s="150">
        <v>125932</v>
      </c>
      <c r="C46" s="150">
        <v>177145</v>
      </c>
      <c r="D46" s="150">
        <v>253541</v>
      </c>
      <c r="E46" s="150">
        <v>368514</v>
      </c>
      <c r="F46" s="150">
        <v>541747</v>
      </c>
      <c r="G46" s="150">
        <v>802959</v>
      </c>
      <c r="H46" s="150">
        <v>1198136</v>
      </c>
      <c r="J46" s="160">
        <f t="shared" si="3"/>
        <v>2.1462214844344782E-2</v>
      </c>
      <c r="K46" s="160">
        <f t="shared" si="3"/>
        <v>3.1549935841482413E-2</v>
      </c>
      <c r="L46" s="160">
        <f t="shared" si="3"/>
        <v>4.151746187392226E-2</v>
      </c>
      <c r="M46" s="160">
        <f t="shared" si="3"/>
        <v>5.1386398739504152E-2</v>
      </c>
      <c r="N46" s="160">
        <f t="shared" si="2"/>
        <v>6.112239306631774E-2</v>
      </c>
      <c r="O46" s="160">
        <f t="shared" si="2"/>
        <v>7.0712255927987744E-2</v>
      </c>
      <c r="P46" s="160">
        <f t="shared" si="2"/>
        <v>8.0177659938024184E-2</v>
      </c>
    </row>
    <row r="47" spans="1:16">
      <c r="A47" s="150">
        <v>56</v>
      </c>
      <c r="B47" s="150">
        <v>130365</v>
      </c>
      <c r="C47" s="150">
        <v>184728</v>
      </c>
      <c r="D47" s="150">
        <v>266608</v>
      </c>
      <c r="E47" s="150">
        <v>390904</v>
      </c>
      <c r="F47" s="150">
        <v>579577</v>
      </c>
      <c r="G47" s="150">
        <v>866534</v>
      </c>
      <c r="H47" s="150">
        <v>1304435</v>
      </c>
      <c r="J47" s="160">
        <f t="shared" si="3"/>
        <v>2.157537905479117E-2</v>
      </c>
      <c r="K47" s="160">
        <f t="shared" si="3"/>
        <v>3.1655491713083121E-2</v>
      </c>
      <c r="L47" s="160">
        <f t="shared" si="3"/>
        <v>4.1628300940062521E-2</v>
      </c>
      <c r="M47" s="160">
        <f t="shared" si="3"/>
        <v>5.150098451018164E-2</v>
      </c>
      <c r="N47" s="160">
        <f t="shared" si="2"/>
        <v>6.1228818045504937E-2</v>
      </c>
      <c r="O47" s="160">
        <f t="shared" si="2"/>
        <v>7.081206965984474E-2</v>
      </c>
      <c r="P47" s="160">
        <f t="shared" si="2"/>
        <v>8.0272017097374276E-2</v>
      </c>
    </row>
    <row r="48" spans="1:16">
      <c r="A48" s="150">
        <v>57</v>
      </c>
      <c r="B48" s="150">
        <v>134917</v>
      </c>
      <c r="C48" s="150">
        <v>192590</v>
      </c>
      <c r="D48" s="150">
        <v>280294</v>
      </c>
      <c r="E48" s="150">
        <v>414591</v>
      </c>
      <c r="F48" s="150">
        <v>619974</v>
      </c>
      <c r="G48" s="150">
        <v>935058</v>
      </c>
      <c r="H48" s="150">
        <v>1420069</v>
      </c>
      <c r="J48" s="160">
        <f t="shared" si="3"/>
        <v>2.1684115336302309E-2</v>
      </c>
      <c r="K48" s="160">
        <f t="shared" si="3"/>
        <v>3.1756842148255929E-2</v>
      </c>
      <c r="L48" s="160">
        <f t="shared" si="3"/>
        <v>4.1734668402028982E-2</v>
      </c>
      <c r="M48" s="160">
        <f t="shared" si="3"/>
        <v>5.161092128821982E-2</v>
      </c>
      <c r="N48" s="160">
        <f t="shared" si="2"/>
        <v>6.1330851278159404E-2</v>
      </c>
      <c r="O48" s="160">
        <f t="shared" si="2"/>
        <v>7.090777557892948E-2</v>
      </c>
      <c r="P48" s="160">
        <f t="shared" si="2"/>
        <v>8.0362484208327672E-2</v>
      </c>
    </row>
    <row r="49" spans="1:16">
      <c r="A49" s="150">
        <v>58</v>
      </c>
      <c r="B49" s="150">
        <v>139590</v>
      </c>
      <c r="C49" s="150">
        <v>200749</v>
      </c>
      <c r="D49" s="150">
        <v>294626</v>
      </c>
      <c r="E49" s="150">
        <v>439646</v>
      </c>
      <c r="F49" s="150">
        <v>663108</v>
      </c>
      <c r="G49" s="150">
        <v>1008911</v>
      </c>
      <c r="H49" s="150">
        <v>1545852</v>
      </c>
      <c r="J49" s="160">
        <f t="shared" si="3"/>
        <v>2.1788424619867509E-2</v>
      </c>
      <c r="K49" s="160">
        <f t="shared" si="3"/>
        <v>3.1855255482421421E-2</v>
      </c>
      <c r="L49" s="160">
        <f t="shared" si="3"/>
        <v>4.1836616350962662E-2</v>
      </c>
      <c r="M49" s="160">
        <f t="shared" si="3"/>
        <v>5.1716244283681823E-2</v>
      </c>
      <c r="N49" s="160">
        <f t="shared" si="2"/>
        <v>6.1428599002903012E-2</v>
      </c>
      <c r="O49" s="160">
        <f t="shared" si="2"/>
        <v>7.0999492962677366E-2</v>
      </c>
      <c r="P49" s="160">
        <f t="shared" si="2"/>
        <v>8.0449205008281371E-2</v>
      </c>
    </row>
    <row r="50" spans="1:16">
      <c r="A50" s="150">
        <v>59</v>
      </c>
      <c r="B50" s="150">
        <v>144388</v>
      </c>
      <c r="C50" s="150">
        <v>209304</v>
      </c>
      <c r="D50" s="150">
        <v>309726</v>
      </c>
      <c r="E50" s="150">
        <v>466148</v>
      </c>
      <c r="F50" s="150">
        <v>709166</v>
      </c>
      <c r="G50" s="150">
        <v>1088507</v>
      </c>
      <c r="H50" s="150">
        <v>1682671</v>
      </c>
      <c r="J50" s="160">
        <f t="shared" si="3"/>
        <v>2.1888714815832988E-2</v>
      </c>
      <c r="K50" s="160">
        <f t="shared" si="3"/>
        <v>3.1961842126144349E-2</v>
      </c>
      <c r="L50" s="160">
        <f t="shared" si="3"/>
        <v>4.1941719119308891E-2</v>
      </c>
      <c r="M50" s="160">
        <f t="shared" si="3"/>
        <v>5.1817224437308851E-2</v>
      </c>
      <c r="N50" s="160">
        <f t="shared" si="2"/>
        <v>6.1522364469885391E-2</v>
      </c>
      <c r="O50" s="160">
        <f t="shared" si="2"/>
        <v>7.1087448204418396E-2</v>
      </c>
      <c r="P50" s="160">
        <f t="shared" si="2"/>
        <v>8.0532352382353178E-2</v>
      </c>
    </row>
    <row r="51" spans="1:16" ht="13.5" thickBot="1">
      <c r="A51" s="150">
        <v>60</v>
      </c>
      <c r="B51" s="150">
        <v>149314</v>
      </c>
      <c r="C51" s="150">
        <v>218177</v>
      </c>
      <c r="D51" s="150">
        <v>325609</v>
      </c>
      <c r="E51" s="150">
        <v>494180</v>
      </c>
      <c r="F51" s="150">
        <v>758341</v>
      </c>
      <c r="G51" s="150">
        <v>1174285</v>
      </c>
      <c r="H51" s="150">
        <v>1831481</v>
      </c>
      <c r="J51" s="160">
        <f t="shared" si="3"/>
        <v>2.1985142563345415E-2</v>
      </c>
      <c r="K51" s="160">
        <f t="shared" si="3"/>
        <v>3.2064147008800614E-2</v>
      </c>
      <c r="L51" s="160">
        <f t="shared" si="3"/>
        <v>4.2047450244938417E-2</v>
      </c>
      <c r="M51" s="160">
        <f t="shared" si="3"/>
        <v>5.1914086161728962E-2</v>
      </c>
      <c r="N51" s="160">
        <f t="shared" si="2"/>
        <v>6.1612222681063436E-2</v>
      </c>
      <c r="O51" s="160">
        <f t="shared" si="2"/>
        <v>7.117172074565449E-2</v>
      </c>
      <c r="P51" s="160">
        <f t="shared" si="2"/>
        <v>8.0611985210309933E-2</v>
      </c>
    </row>
    <row r="52" spans="1:16" s="153" customFormat="1">
      <c r="I52" s="162" t="s">
        <v>0</v>
      </c>
    </row>
    <row r="53" spans="1:16" s="153" customFormat="1" ht="13.5" thickBot="1">
      <c r="I53" s="163">
        <f>SUM(J53:P53)</f>
        <v>4.1957605475410317E-2</v>
      </c>
      <c r="J53" s="160">
        <f>IF(Hilfe!$E$3='FSX (Einzel)'!J2,VLOOKUP(Hilfe!$B$54,$A$3:$P$51,10),0)</f>
        <v>0</v>
      </c>
      <c r="K53" s="160">
        <f>IF(Hilfe!$E$3='FSX (Einzel)'!K2,VLOOKUP(Hilfe!$B$54,$A$3:$P$51,11),0)</f>
        <v>0</v>
      </c>
      <c r="L53" s="160">
        <f>IF(Hilfe!$E$3='FSX (Einzel)'!L2,VLOOKUP(Hilfe!$B$54,$A$3:$P$51,12),0)</f>
        <v>0</v>
      </c>
      <c r="M53" s="160">
        <f>IF(Hilfe!$E$3='FSX (Einzel)'!M2,VLOOKUP(Hilfe!$B$54,$A$3:$P$51,13),0)</f>
        <v>4.1957605475410317E-2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dimension ref="A1:P53"/>
  <sheetViews>
    <sheetView topLeftCell="A25"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127</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0">
        <v>15781</v>
      </c>
      <c r="C3" s="150">
        <v>16795</v>
      </c>
      <c r="D3" s="150">
        <v>17882</v>
      </c>
      <c r="E3" s="150">
        <v>19049</v>
      </c>
      <c r="F3" s="150">
        <v>20302</v>
      </c>
      <c r="G3" s="150">
        <v>21644</v>
      </c>
      <c r="H3" s="150">
        <v>23084</v>
      </c>
      <c r="J3" s="160">
        <f>RATE($A$3*12,-100,0,B3)*12</f>
        <v>1.5148647869042011E-2</v>
      </c>
      <c r="K3" s="160">
        <f t="shared" ref="K3:P3" si="0">RATE($A3*12,-100,0,C3)*12</f>
        <v>2.5209808151130275E-2</v>
      </c>
      <c r="L3" s="160">
        <f t="shared" si="0"/>
        <v>3.5158948369687956E-2</v>
      </c>
      <c r="M3" s="160">
        <f t="shared" si="0"/>
        <v>4.5013606521350752E-2</v>
      </c>
      <c r="N3" s="160">
        <f t="shared" si="0"/>
        <v>5.4776637643103671E-2</v>
      </c>
      <c r="O3" s="160">
        <f t="shared" si="0"/>
        <v>6.4427025221060114E-2</v>
      </c>
      <c r="P3" s="160">
        <f t="shared" si="0"/>
        <v>7.3986228845935004E-2</v>
      </c>
    </row>
    <row r="4" spans="1:16">
      <c r="A4" s="150">
        <v>13</v>
      </c>
      <c r="B4" s="150">
        <v>17311</v>
      </c>
      <c r="C4" s="150">
        <v>18525</v>
      </c>
      <c r="D4" s="150">
        <v>19835</v>
      </c>
      <c r="E4" s="150">
        <v>21251</v>
      </c>
      <c r="F4" s="150">
        <v>22779</v>
      </c>
      <c r="G4" s="150">
        <v>24432</v>
      </c>
      <c r="H4" s="150">
        <v>26216</v>
      </c>
      <c r="J4" s="160">
        <f t="shared" ref="J4:P40" si="1">RATE($A4*12,-100,0,B4)*12</f>
        <v>1.5851227271001876E-2</v>
      </c>
      <c r="K4" s="160">
        <f t="shared" si="1"/>
        <v>2.5907471478710357E-2</v>
      </c>
      <c r="L4" s="160">
        <f t="shared" si="1"/>
        <v>3.5847767343953854E-2</v>
      </c>
      <c r="M4" s="160">
        <f t="shared" si="1"/>
        <v>4.5691576153647981E-2</v>
      </c>
      <c r="N4" s="160">
        <f t="shared" si="1"/>
        <v>5.5424995266644655E-2</v>
      </c>
      <c r="O4" s="160">
        <f t="shared" si="1"/>
        <v>6.5074810053033089E-2</v>
      </c>
      <c r="P4" s="160">
        <f t="shared" si="1"/>
        <v>7.4620620522355768E-2</v>
      </c>
    </row>
    <row r="5" spans="1:16">
      <c r="A5" s="150">
        <v>14</v>
      </c>
      <c r="B5" s="150">
        <v>18878</v>
      </c>
      <c r="C5" s="150">
        <v>20314</v>
      </c>
      <c r="D5" s="150">
        <v>21874</v>
      </c>
      <c r="E5" s="150">
        <v>23571</v>
      </c>
      <c r="F5" s="150">
        <v>25417</v>
      </c>
      <c r="G5" s="150">
        <v>27427</v>
      </c>
      <c r="H5" s="150">
        <v>29612</v>
      </c>
      <c r="J5" s="160">
        <f t="shared" si="1"/>
        <v>1.6453643500692196E-2</v>
      </c>
      <c r="K5" s="160">
        <f t="shared" si="1"/>
        <v>2.6503149629565716E-2</v>
      </c>
      <c r="L5" s="160">
        <f t="shared" si="1"/>
        <v>3.6433965858488147E-2</v>
      </c>
      <c r="M5" s="160">
        <f t="shared" si="1"/>
        <v>4.6262086495580557E-2</v>
      </c>
      <c r="N5" s="160">
        <f t="shared" si="1"/>
        <v>5.5989399816622244E-2</v>
      </c>
      <c r="O5" s="160">
        <f t="shared" si="1"/>
        <v>6.5626974704301039E-2</v>
      </c>
      <c r="P5" s="160">
        <f t="shared" si="1"/>
        <v>7.5161465503932184E-2</v>
      </c>
    </row>
    <row r="6" spans="1:16">
      <c r="A6" s="150">
        <v>15</v>
      </c>
      <c r="B6" s="150">
        <v>20483</v>
      </c>
      <c r="C6" s="150">
        <v>22163</v>
      </c>
      <c r="D6" s="150">
        <v>24002</v>
      </c>
      <c r="E6" s="150">
        <v>26015</v>
      </c>
      <c r="F6" s="150">
        <v>28224</v>
      </c>
      <c r="G6" s="150">
        <v>30641</v>
      </c>
      <c r="H6" s="150">
        <v>33293</v>
      </c>
      <c r="J6" s="160">
        <f t="shared" si="1"/>
        <v>1.6976508232305284E-2</v>
      </c>
      <c r="K6" s="160">
        <f t="shared" si="1"/>
        <v>2.7011848977803718E-2</v>
      </c>
      <c r="L6" s="160">
        <f t="shared" si="1"/>
        <v>3.6934706602860301E-2</v>
      </c>
      <c r="M6" s="160">
        <f t="shared" si="1"/>
        <v>4.6746995676297337E-2</v>
      </c>
      <c r="N6" s="160">
        <f t="shared" si="1"/>
        <v>5.6474401456039658E-2</v>
      </c>
      <c r="O6" s="160">
        <f t="shared" si="1"/>
        <v>6.6090201217716527E-2</v>
      </c>
      <c r="P6" s="160">
        <f t="shared" si="1"/>
        <v>7.562340621911981E-2</v>
      </c>
    </row>
    <row r="7" spans="1:16">
      <c r="A7" s="150">
        <v>16</v>
      </c>
      <c r="B7" s="150">
        <v>22126</v>
      </c>
      <c r="C7" s="150">
        <v>24073</v>
      </c>
      <c r="D7" s="150">
        <v>26222</v>
      </c>
      <c r="E7" s="150">
        <v>28594</v>
      </c>
      <c r="F7" s="150">
        <v>31211</v>
      </c>
      <c r="G7" s="150">
        <v>34098</v>
      </c>
      <c r="H7" s="150">
        <v>37283</v>
      </c>
      <c r="J7" s="160">
        <f t="shared" si="1"/>
        <v>1.7429554722185214E-2</v>
      </c>
      <c r="K7" s="160">
        <f t="shared" si="1"/>
        <v>2.7446228131919222E-2</v>
      </c>
      <c r="L7" s="160">
        <f t="shared" si="1"/>
        <v>3.7363352185921107E-2</v>
      </c>
      <c r="M7" s="160">
        <f t="shared" si="1"/>
        <v>4.7181086267986699E-2</v>
      </c>
      <c r="N7" s="160">
        <f t="shared" si="1"/>
        <v>5.6896053977427592E-2</v>
      </c>
      <c r="O7" s="160">
        <f t="shared" si="1"/>
        <v>6.6508972142634223E-2</v>
      </c>
      <c r="P7" s="160">
        <f t="shared" si="1"/>
        <v>7.6022442347073615E-2</v>
      </c>
    </row>
    <row r="8" spans="1:16">
      <c r="A8" s="150">
        <v>17</v>
      </c>
      <c r="B8" s="150">
        <v>23807</v>
      </c>
      <c r="C8" s="150">
        <v>26050</v>
      </c>
      <c r="D8" s="150">
        <v>28542</v>
      </c>
      <c r="E8" s="150">
        <v>31312</v>
      </c>
      <c r="F8" s="150">
        <v>34390</v>
      </c>
      <c r="G8" s="150">
        <v>37809</v>
      </c>
      <c r="H8" s="150">
        <v>41613</v>
      </c>
      <c r="J8" s="160">
        <f t="shared" si="1"/>
        <v>1.7821563390051219E-2</v>
      </c>
      <c r="K8" s="160">
        <f t="shared" si="1"/>
        <v>2.7837982381261346E-2</v>
      </c>
      <c r="L8" s="160">
        <f t="shared" si="1"/>
        <v>3.7749265312746833E-2</v>
      </c>
      <c r="M8" s="160">
        <f t="shared" si="1"/>
        <v>4.7559946137044076E-2</v>
      </c>
      <c r="N8" s="160">
        <f t="shared" si="1"/>
        <v>5.7267195671523691E-2</v>
      </c>
      <c r="O8" s="160">
        <f t="shared" si="1"/>
        <v>6.6868995944895107E-2</v>
      </c>
      <c r="P8" s="160">
        <f t="shared" si="1"/>
        <v>7.6382289532767059E-2</v>
      </c>
    </row>
    <row r="9" spans="1:16">
      <c r="A9" s="150">
        <v>18</v>
      </c>
      <c r="B9" s="150">
        <v>25527</v>
      </c>
      <c r="C9" s="150">
        <v>28094</v>
      </c>
      <c r="D9" s="150">
        <v>30965</v>
      </c>
      <c r="E9" s="150">
        <v>34177</v>
      </c>
      <c r="F9" s="150">
        <v>37774</v>
      </c>
      <c r="G9" s="150">
        <v>41799</v>
      </c>
      <c r="H9" s="150">
        <v>46309</v>
      </c>
      <c r="J9" s="160">
        <f t="shared" si="1"/>
        <v>1.8164420985985148E-2</v>
      </c>
      <c r="K9" s="160">
        <f t="shared" si="1"/>
        <v>2.8184173527180518E-2</v>
      </c>
      <c r="L9" s="160">
        <f t="shared" si="1"/>
        <v>3.8093352936573441E-2</v>
      </c>
      <c r="M9" s="160">
        <f t="shared" si="1"/>
        <v>4.7894804082414019E-2</v>
      </c>
      <c r="N9" s="160">
        <f t="shared" si="1"/>
        <v>5.7597910350488828E-2</v>
      </c>
      <c r="O9" s="160">
        <f t="shared" si="1"/>
        <v>6.7195694503196887E-2</v>
      </c>
      <c r="P9" s="160">
        <f t="shared" si="1"/>
        <v>7.6702027027644129E-2</v>
      </c>
    </row>
    <row r="10" spans="1:16">
      <c r="A10" s="150">
        <v>19</v>
      </c>
      <c r="B10" s="150">
        <v>27290</v>
      </c>
      <c r="C10" s="150">
        <v>30208</v>
      </c>
      <c r="D10" s="150">
        <v>33494</v>
      </c>
      <c r="E10" s="150">
        <v>37198</v>
      </c>
      <c r="F10" s="150">
        <v>41372</v>
      </c>
      <c r="G10" s="150">
        <v>46085</v>
      </c>
      <c r="H10" s="150">
        <v>51408</v>
      </c>
      <c r="J10" s="160">
        <f t="shared" si="1"/>
        <v>1.8478060751667989E-2</v>
      </c>
      <c r="K10" s="160">
        <f t="shared" si="1"/>
        <v>2.8494606601698287E-2</v>
      </c>
      <c r="L10" s="160">
        <f t="shared" si="1"/>
        <v>3.8397536438433182E-2</v>
      </c>
      <c r="M10" s="160">
        <f t="shared" si="1"/>
        <v>4.8195404103933998E-2</v>
      </c>
      <c r="N10" s="160">
        <f t="shared" si="1"/>
        <v>5.7885133121626769E-2</v>
      </c>
      <c r="O10" s="160">
        <f t="shared" si="1"/>
        <v>6.748549260793639E-2</v>
      </c>
      <c r="P10" s="160">
        <f t="shared" si="1"/>
        <v>7.699795887506089E-2</v>
      </c>
    </row>
    <row r="11" spans="1:16">
      <c r="A11" s="150">
        <v>20</v>
      </c>
      <c r="B11" s="150">
        <v>29095</v>
      </c>
      <c r="C11" s="150">
        <v>32393</v>
      </c>
      <c r="D11" s="150">
        <v>36135</v>
      </c>
      <c r="E11" s="150">
        <v>40382</v>
      </c>
      <c r="F11" s="150">
        <v>45206</v>
      </c>
      <c r="G11" s="150">
        <v>50694</v>
      </c>
      <c r="H11" s="150">
        <v>56959</v>
      </c>
      <c r="J11" s="160">
        <f t="shared" si="1"/>
        <v>1.8759103495738338E-2</v>
      </c>
      <c r="K11" s="160">
        <f t="shared" si="1"/>
        <v>2.8770539548626718E-2</v>
      </c>
      <c r="L11" s="160">
        <f t="shared" si="1"/>
        <v>3.8671648670232338E-2</v>
      </c>
      <c r="M11" s="160">
        <f t="shared" si="1"/>
        <v>4.8463424804181018E-2</v>
      </c>
      <c r="N11" s="160">
        <f t="shared" si="1"/>
        <v>5.8152481666099348E-2</v>
      </c>
      <c r="O11" s="160">
        <f t="shared" si="1"/>
        <v>6.775239890717133E-2</v>
      </c>
      <c r="P11" s="160">
        <f t="shared" si="1"/>
        <v>7.7292413785313693E-2</v>
      </c>
    </row>
    <row r="12" spans="1:16">
      <c r="A12" s="150">
        <v>21</v>
      </c>
      <c r="B12" s="150">
        <v>30941</v>
      </c>
      <c r="C12" s="150">
        <v>34650</v>
      </c>
      <c r="D12" s="150">
        <v>38889</v>
      </c>
      <c r="E12" s="150">
        <v>43738</v>
      </c>
      <c r="F12" s="150">
        <v>49288</v>
      </c>
      <c r="G12" s="150">
        <v>55668</v>
      </c>
      <c r="H12" s="150">
        <v>62984</v>
      </c>
      <c r="J12" s="160">
        <f t="shared" si="1"/>
        <v>1.9006550407678638E-2</v>
      </c>
      <c r="K12" s="160">
        <f t="shared" si="1"/>
        <v>2.90138689958063E-2</v>
      </c>
      <c r="L12" s="160">
        <f t="shared" si="1"/>
        <v>3.8911270518760963E-2</v>
      </c>
      <c r="M12" s="160">
        <f t="shared" si="1"/>
        <v>4.8704185840498501E-2</v>
      </c>
      <c r="N12" s="160">
        <f t="shared" si="1"/>
        <v>5.8395744717656628E-2</v>
      </c>
      <c r="O12" s="160">
        <f t="shared" si="1"/>
        <v>6.802343098733607E-2</v>
      </c>
      <c r="P12" s="160">
        <f t="shared" si="1"/>
        <v>7.7559298478436414E-2</v>
      </c>
    </row>
    <row r="13" spans="1:16">
      <c r="A13" s="150">
        <v>22</v>
      </c>
      <c r="B13" s="150">
        <v>32833</v>
      </c>
      <c r="C13" s="150">
        <v>36987</v>
      </c>
      <c r="D13" s="150">
        <v>41769</v>
      </c>
      <c r="E13" s="150">
        <v>47279</v>
      </c>
      <c r="F13" s="150">
        <v>53652</v>
      </c>
      <c r="G13" s="150">
        <v>61020</v>
      </c>
      <c r="H13" s="150">
        <v>69523</v>
      </c>
      <c r="J13" s="160">
        <f t="shared" si="1"/>
        <v>1.9236456333391092E-2</v>
      </c>
      <c r="K13" s="160">
        <f t="shared" si="1"/>
        <v>2.924243597600636E-2</v>
      </c>
      <c r="L13" s="160">
        <f t="shared" si="1"/>
        <v>3.9137873334336333E-2</v>
      </c>
      <c r="M13" s="160">
        <f t="shared" si="1"/>
        <v>4.8927680429749029E-2</v>
      </c>
      <c r="N13" s="160">
        <f t="shared" si="1"/>
        <v>5.8643294504992179E-2</v>
      </c>
      <c r="O13" s="160">
        <f t="shared" si="1"/>
        <v>6.8274453420143849E-2</v>
      </c>
      <c r="P13" s="160">
        <f t="shared" si="1"/>
        <v>7.7801643557591449E-2</v>
      </c>
    </row>
    <row r="14" spans="1:16">
      <c r="A14" s="150">
        <v>23</v>
      </c>
      <c r="B14" s="150">
        <v>34768</v>
      </c>
      <c r="C14" s="150">
        <v>39404</v>
      </c>
      <c r="D14" s="150">
        <v>44777</v>
      </c>
      <c r="E14" s="150">
        <v>51019</v>
      </c>
      <c r="F14" s="150">
        <v>58307</v>
      </c>
      <c r="G14" s="150">
        <v>66770</v>
      </c>
      <c r="H14" s="150">
        <v>76613</v>
      </c>
      <c r="J14" s="160">
        <f t="shared" si="1"/>
        <v>1.9440765572698474E-2</v>
      </c>
      <c r="K14" s="160">
        <f t="shared" si="1"/>
        <v>2.9451535490082531E-2</v>
      </c>
      <c r="L14" s="160">
        <f t="shared" si="1"/>
        <v>3.9345564360526324E-2</v>
      </c>
      <c r="M14" s="160">
        <f t="shared" si="1"/>
        <v>4.9140991385854996E-2</v>
      </c>
      <c r="N14" s="160">
        <f t="shared" si="1"/>
        <v>5.8878029223004509E-2</v>
      </c>
      <c r="O14" s="160">
        <f t="shared" si="1"/>
        <v>6.8498147699353931E-2</v>
      </c>
      <c r="P14" s="160">
        <f t="shared" si="1"/>
        <v>7.8016426393237651E-2</v>
      </c>
    </row>
    <row r="15" spans="1:16">
      <c r="A15" s="150">
        <v>24</v>
      </c>
      <c r="B15" s="150">
        <v>36752</v>
      </c>
      <c r="C15" s="150">
        <v>41904</v>
      </c>
      <c r="D15" s="150">
        <v>47918</v>
      </c>
      <c r="E15" s="150">
        <v>54983</v>
      </c>
      <c r="F15" s="150">
        <v>63266</v>
      </c>
      <c r="G15" s="150">
        <v>72956</v>
      </c>
      <c r="H15" s="150">
        <v>84310</v>
      </c>
      <c r="J15" s="160">
        <f t="shared" si="1"/>
        <v>1.9633967814917459E-2</v>
      </c>
      <c r="K15" s="160">
        <f t="shared" si="1"/>
        <v>2.9643989502988605E-2</v>
      </c>
      <c r="L15" s="160">
        <f t="shared" si="1"/>
        <v>3.9535519598730098E-2</v>
      </c>
      <c r="M15" s="160">
        <f t="shared" si="1"/>
        <v>4.9361833398248033E-2</v>
      </c>
      <c r="N15" s="160">
        <f t="shared" si="1"/>
        <v>5.909339618504407E-2</v>
      </c>
      <c r="O15" s="160">
        <f t="shared" si="1"/>
        <v>6.8706232018529559E-2</v>
      </c>
      <c r="P15" s="160">
        <f t="shared" si="1"/>
        <v>7.8215239996054065E-2</v>
      </c>
    </row>
    <row r="16" spans="1:16">
      <c r="A16" s="150">
        <v>25</v>
      </c>
      <c r="B16" s="150">
        <v>38783</v>
      </c>
      <c r="C16" s="150">
        <v>44486</v>
      </c>
      <c r="D16" s="150">
        <v>51207</v>
      </c>
      <c r="E16" s="150">
        <v>59166</v>
      </c>
      <c r="F16" s="150">
        <v>68541</v>
      </c>
      <c r="G16" s="150">
        <v>79608</v>
      </c>
      <c r="H16" s="150">
        <v>92664</v>
      </c>
      <c r="J16" s="160">
        <f t="shared" si="1"/>
        <v>1.9810485609768221E-2</v>
      </c>
      <c r="K16" s="160">
        <f t="shared" si="1"/>
        <v>2.981547676776226E-2</v>
      </c>
      <c r="L16" s="160">
        <f t="shared" si="1"/>
        <v>3.972221054600511E-2</v>
      </c>
      <c r="M16" s="160">
        <f t="shared" si="1"/>
        <v>4.9565303813354319E-2</v>
      </c>
      <c r="N16" s="160">
        <f t="shared" si="1"/>
        <v>5.9284147800605744E-2</v>
      </c>
      <c r="O16" s="160">
        <f t="shared" si="1"/>
        <v>6.8897644582460699E-2</v>
      </c>
      <c r="P16" s="160">
        <f t="shared" si="1"/>
        <v>7.8398311957634276E-2</v>
      </c>
    </row>
    <row r="17" spans="1:16">
      <c r="A17" s="150">
        <v>26</v>
      </c>
      <c r="B17" s="150">
        <v>40863</v>
      </c>
      <c r="C17" s="150">
        <v>47159</v>
      </c>
      <c r="D17" s="150">
        <v>54659</v>
      </c>
      <c r="E17" s="150">
        <v>63573</v>
      </c>
      <c r="F17" s="150">
        <v>74165</v>
      </c>
      <c r="G17" s="150">
        <v>86756</v>
      </c>
      <c r="H17" s="150">
        <v>101742</v>
      </c>
      <c r="J17" s="160">
        <f t="shared" si="1"/>
        <v>1.997391458325188E-2</v>
      </c>
      <c r="K17" s="160">
        <f t="shared" si="1"/>
        <v>2.9978211908119133E-2</v>
      </c>
      <c r="L17" s="160">
        <f t="shared" si="1"/>
        <v>3.991431050392074E-2</v>
      </c>
      <c r="M17" s="160">
        <f t="shared" si="1"/>
        <v>4.9746158533749807E-2</v>
      </c>
      <c r="N17" s="160">
        <f t="shared" si="1"/>
        <v>5.9464749980631192E-2</v>
      </c>
      <c r="O17" s="160">
        <f t="shared" si="1"/>
        <v>6.9070664010371846E-2</v>
      </c>
      <c r="P17" s="160">
        <f t="shared" si="1"/>
        <v>7.8573651818531015E-2</v>
      </c>
    </row>
    <row r="18" spans="1:16">
      <c r="A18" s="150">
        <v>27</v>
      </c>
      <c r="B18" s="150">
        <v>42990</v>
      </c>
      <c r="C18" s="150">
        <v>49924</v>
      </c>
      <c r="D18" s="150">
        <v>58264</v>
      </c>
      <c r="E18" s="150">
        <v>68229</v>
      </c>
      <c r="F18" s="150">
        <v>80157</v>
      </c>
      <c r="G18" s="150">
        <v>94437</v>
      </c>
      <c r="H18" s="150">
        <v>111632</v>
      </c>
      <c r="J18" s="160">
        <f t="shared" si="1"/>
        <v>2.0120590867482302E-2</v>
      </c>
      <c r="K18" s="160">
        <f t="shared" si="1"/>
        <v>3.0129751280753479E-2</v>
      </c>
      <c r="L18" s="160">
        <f t="shared" si="1"/>
        <v>4.008934630327423E-2</v>
      </c>
      <c r="M18" s="160">
        <f t="shared" si="1"/>
        <v>4.9919353587362131E-2</v>
      </c>
      <c r="N18" s="160">
        <f t="shared" si="1"/>
        <v>5.9632688854424354E-2</v>
      </c>
      <c r="O18" s="160">
        <f t="shared" si="1"/>
        <v>6.9227718393050919E-2</v>
      </c>
      <c r="P18" s="160">
        <f t="shared" si="1"/>
        <v>7.8753930534720684E-2</v>
      </c>
    </row>
    <row r="19" spans="1:16">
      <c r="A19" s="150">
        <v>28</v>
      </c>
      <c r="B19" s="150">
        <v>45171</v>
      </c>
      <c r="C19" s="150">
        <v>52807</v>
      </c>
      <c r="D19" s="150">
        <v>62033</v>
      </c>
      <c r="E19" s="150">
        <v>73143</v>
      </c>
      <c r="F19" s="150">
        <v>86537</v>
      </c>
      <c r="G19" s="150">
        <v>102718</v>
      </c>
      <c r="H19" s="150">
        <v>122381</v>
      </c>
      <c r="J19" s="160">
        <f t="shared" si="1"/>
        <v>2.0261417554270942E-2</v>
      </c>
      <c r="K19" s="160">
        <f t="shared" si="1"/>
        <v>3.0298431377708508E-2</v>
      </c>
      <c r="L19" s="160">
        <f t="shared" si="1"/>
        <v>4.0253552008157854E-2</v>
      </c>
      <c r="M19" s="160">
        <f t="shared" si="1"/>
        <v>5.0080947035355011E-2</v>
      </c>
      <c r="N19" s="160">
        <f t="shared" si="1"/>
        <v>5.9786493970383027E-2</v>
      </c>
      <c r="O19" s="160">
        <f t="shared" si="1"/>
        <v>6.9385478003438486E-2</v>
      </c>
      <c r="P19" s="160">
        <f t="shared" si="1"/>
        <v>7.8925059447780693E-2</v>
      </c>
    </row>
    <row r="20" spans="1:16">
      <c r="A20" s="150">
        <v>29</v>
      </c>
      <c r="B20" s="150">
        <v>47402</v>
      </c>
      <c r="C20" s="150">
        <v>55791</v>
      </c>
      <c r="D20" s="150">
        <v>65973</v>
      </c>
      <c r="E20" s="150">
        <v>78324</v>
      </c>
      <c r="F20" s="150">
        <v>93333</v>
      </c>
      <c r="G20" s="150">
        <v>111660</v>
      </c>
      <c r="H20" s="150">
        <v>134044</v>
      </c>
      <c r="J20" s="160">
        <f t="shared" si="1"/>
        <v>2.0389372833238755E-2</v>
      </c>
      <c r="K20" s="160">
        <f t="shared" si="1"/>
        <v>3.0455802830317694E-2</v>
      </c>
      <c r="L20" s="160">
        <f t="shared" si="1"/>
        <v>4.0407426629824425E-2</v>
      </c>
      <c r="M20" s="160">
        <f t="shared" si="1"/>
        <v>5.0228202896581628E-2</v>
      </c>
      <c r="N20" s="160">
        <f t="shared" si="1"/>
        <v>5.9929492574576665E-2</v>
      </c>
      <c r="O20" s="160">
        <f t="shared" si="1"/>
        <v>6.9549103329088965E-2</v>
      </c>
      <c r="P20" s="160">
        <f t="shared" si="1"/>
        <v>7.9079904728805814E-2</v>
      </c>
    </row>
    <row r="21" spans="1:16">
      <c r="A21" s="150">
        <v>30</v>
      </c>
      <c r="B21" s="150">
        <v>49689</v>
      </c>
      <c r="C21" s="150">
        <v>58877</v>
      </c>
      <c r="D21" s="150">
        <v>70087</v>
      </c>
      <c r="E21" s="150">
        <v>83791</v>
      </c>
      <c r="F21" s="150">
        <v>100566</v>
      </c>
      <c r="G21" s="150">
        <v>121286</v>
      </c>
      <c r="H21" s="150">
        <v>146713</v>
      </c>
      <c r="J21" s="160">
        <f t="shared" si="1"/>
        <v>2.0511986927525813E-2</v>
      </c>
      <c r="K21" s="160">
        <f t="shared" si="1"/>
        <v>3.0600431401004369E-2</v>
      </c>
      <c r="L21" s="160">
        <f t="shared" si="1"/>
        <v>4.0548066092547505E-2</v>
      </c>
      <c r="M21" s="160">
        <f t="shared" si="1"/>
        <v>5.0365754489219913E-2</v>
      </c>
      <c r="N21" s="160">
        <f t="shared" si="1"/>
        <v>6.0059550823900743E-2</v>
      </c>
      <c r="O21" s="160">
        <f t="shared" si="1"/>
        <v>6.9703596575540608E-2</v>
      </c>
      <c r="P21" s="160">
        <f t="shared" si="1"/>
        <v>7.92253582939456E-2</v>
      </c>
    </row>
    <row r="22" spans="1:16">
      <c r="A22" s="150">
        <v>31</v>
      </c>
      <c r="B22" s="150">
        <v>52051</v>
      </c>
      <c r="C22" s="150">
        <v>62072</v>
      </c>
      <c r="D22" s="150">
        <v>74390</v>
      </c>
      <c r="E22" s="150">
        <v>89563</v>
      </c>
      <c r="F22" s="150">
        <v>108335</v>
      </c>
      <c r="G22" s="150">
        <v>131638</v>
      </c>
      <c r="H22" s="150">
        <v>160469</v>
      </c>
      <c r="J22" s="160">
        <f t="shared" si="1"/>
        <v>2.0649269573705081E-2</v>
      </c>
      <c r="K22" s="160">
        <f t="shared" si="1"/>
        <v>3.073692805721704E-2</v>
      </c>
      <c r="L22" s="160">
        <f t="shared" si="1"/>
        <v>4.0682324257058256E-2</v>
      </c>
      <c r="M22" s="160">
        <f t="shared" si="1"/>
        <v>5.0496351962364711E-2</v>
      </c>
      <c r="N22" s="160">
        <f t="shared" si="1"/>
        <v>6.021112726501987E-2</v>
      </c>
      <c r="O22" s="160">
        <f t="shared" si="1"/>
        <v>6.9845750386670971E-2</v>
      </c>
      <c r="P22" s="160">
        <f t="shared" si="1"/>
        <v>7.9360436472595122E-2</v>
      </c>
    </row>
    <row r="23" spans="1:16">
      <c r="A23" s="150">
        <v>32</v>
      </c>
      <c r="B23" s="150">
        <v>54474</v>
      </c>
      <c r="C23" s="150">
        <v>65382</v>
      </c>
      <c r="D23" s="150">
        <v>78884</v>
      </c>
      <c r="E23" s="150">
        <v>95645</v>
      </c>
      <c r="F23" s="150">
        <v>116616</v>
      </c>
      <c r="G23" s="150">
        <v>142780</v>
      </c>
      <c r="H23" s="150">
        <v>175413</v>
      </c>
      <c r="J23" s="160">
        <f t="shared" si="1"/>
        <v>2.0780792962424348E-2</v>
      </c>
      <c r="K23" s="160">
        <f t="shared" si="1"/>
        <v>3.0867698952516162E-2</v>
      </c>
      <c r="L23" s="160">
        <f t="shared" si="1"/>
        <v>4.0806110974097552E-2</v>
      </c>
      <c r="M23" s="160">
        <f t="shared" si="1"/>
        <v>5.0614135024446213E-2</v>
      </c>
      <c r="N23" s="160">
        <f t="shared" si="1"/>
        <v>6.035275629823085E-2</v>
      </c>
      <c r="O23" s="160">
        <f t="shared" si="1"/>
        <v>6.9979956340082042E-2</v>
      </c>
      <c r="P23" s="160">
        <f t="shared" si="1"/>
        <v>7.9488165897228458E-2</v>
      </c>
    </row>
    <row r="24" spans="1:16">
      <c r="A24" s="150">
        <v>33</v>
      </c>
      <c r="B24" s="150">
        <v>56957</v>
      </c>
      <c r="C24" s="150">
        <v>68804</v>
      </c>
      <c r="D24" s="150">
        <v>83581</v>
      </c>
      <c r="E24" s="150">
        <v>102085</v>
      </c>
      <c r="F24" s="150">
        <v>125432</v>
      </c>
      <c r="G24" s="150">
        <v>154746</v>
      </c>
      <c r="H24" s="150">
        <v>191633</v>
      </c>
      <c r="J24" s="160">
        <f t="shared" si="1"/>
        <v>2.0904346010372925E-2</v>
      </c>
      <c r="K24" s="160">
        <f t="shared" si="1"/>
        <v>3.0987573458354796E-2</v>
      </c>
      <c r="L24" s="160">
        <f t="shared" si="1"/>
        <v>4.0922663110224827E-2</v>
      </c>
      <c r="M24" s="160">
        <f t="shared" si="1"/>
        <v>5.0735500067741357E-2</v>
      </c>
      <c r="N24" s="160">
        <f t="shared" si="1"/>
        <v>6.0481356018962387E-2</v>
      </c>
      <c r="O24" s="160">
        <f t="shared" si="1"/>
        <v>7.0099114898867235E-2</v>
      </c>
      <c r="P24" s="160">
        <f t="shared" si="1"/>
        <v>7.9605683723701165E-2</v>
      </c>
    </row>
    <row r="25" spans="1:16">
      <c r="A25" s="150">
        <v>34</v>
      </c>
      <c r="B25" s="150">
        <v>59504</v>
      </c>
      <c r="C25" s="150">
        <v>72348</v>
      </c>
      <c r="D25" s="150">
        <v>88493</v>
      </c>
      <c r="E25" s="150">
        <v>108916</v>
      </c>
      <c r="F25" s="150">
        <v>134837</v>
      </c>
      <c r="G25" s="150">
        <v>167642</v>
      </c>
      <c r="H25" s="150">
        <v>209300</v>
      </c>
      <c r="J25" s="160">
        <f t="shared" si="1"/>
        <v>2.102285451022682E-2</v>
      </c>
      <c r="K25" s="160">
        <f t="shared" si="1"/>
        <v>3.1102096560358908E-2</v>
      </c>
      <c r="L25" s="160">
        <f t="shared" si="1"/>
        <v>4.1034114067232494E-2</v>
      </c>
      <c r="M25" s="160">
        <f t="shared" si="1"/>
        <v>5.0864160450442439E-2</v>
      </c>
      <c r="N25" s="160">
        <f t="shared" si="1"/>
        <v>6.0604956428825664E-2</v>
      </c>
      <c r="O25" s="160">
        <f t="shared" si="1"/>
        <v>7.0216938846207722E-2</v>
      </c>
      <c r="P25" s="160">
        <f t="shared" si="1"/>
        <v>7.9726640963784706E-2</v>
      </c>
    </row>
    <row r="26" spans="1:16">
      <c r="A26" s="150">
        <v>35</v>
      </c>
      <c r="B26" s="150">
        <v>62111</v>
      </c>
      <c r="C26" s="150">
        <v>76010</v>
      </c>
      <c r="D26" s="150">
        <v>93624</v>
      </c>
      <c r="E26" s="150">
        <v>116129</v>
      </c>
      <c r="F26" s="150">
        <v>144857</v>
      </c>
      <c r="G26" s="150">
        <v>181517</v>
      </c>
      <c r="H26" s="150">
        <v>228537</v>
      </c>
      <c r="J26" s="160">
        <f t="shared" si="1"/>
        <v>2.1131901171912382E-2</v>
      </c>
      <c r="K26" s="160">
        <f t="shared" si="1"/>
        <v>3.1206209336947437E-2</v>
      </c>
      <c r="L26" s="160">
        <f t="shared" si="1"/>
        <v>4.1137807220242822E-2</v>
      </c>
      <c r="M26" s="160">
        <f t="shared" si="1"/>
        <v>5.0985480892353413E-2</v>
      </c>
      <c r="N26" s="160">
        <f t="shared" si="1"/>
        <v>6.0719696801847453E-2</v>
      </c>
      <c r="O26" s="160">
        <f t="shared" si="1"/>
        <v>7.0327524723111934E-2</v>
      </c>
      <c r="P26" s="160">
        <f t="shared" si="1"/>
        <v>7.9848476772018437E-2</v>
      </c>
    </row>
    <row r="27" spans="1:16">
      <c r="A27" s="150">
        <v>36</v>
      </c>
      <c r="B27" s="150">
        <v>64779</v>
      </c>
      <c r="C27" s="150">
        <v>79805</v>
      </c>
      <c r="D27" s="150">
        <v>98987</v>
      </c>
      <c r="E27" s="150">
        <v>123746</v>
      </c>
      <c r="F27" s="150">
        <v>155525</v>
      </c>
      <c r="G27" s="150">
        <v>196426</v>
      </c>
      <c r="H27" s="150">
        <v>249427</v>
      </c>
      <c r="J27" s="160">
        <f t="shared" si="1"/>
        <v>2.1232179920530031E-2</v>
      </c>
      <c r="K27" s="160">
        <f t="shared" si="1"/>
        <v>3.1307647998689639E-2</v>
      </c>
      <c r="L27" s="160">
        <f t="shared" si="1"/>
        <v>4.1235968699653625E-2</v>
      </c>
      <c r="M27" s="160">
        <f t="shared" si="1"/>
        <v>5.1100261646708188E-2</v>
      </c>
      <c r="N27" s="160">
        <f t="shared" si="1"/>
        <v>6.0824514871780845E-2</v>
      </c>
      <c r="O27" s="160">
        <f t="shared" si="1"/>
        <v>7.0427499324669088E-2</v>
      </c>
      <c r="P27" s="160">
        <f t="shared" si="1"/>
        <v>7.9961305349267459E-2</v>
      </c>
    </row>
    <row r="28" spans="1:16">
      <c r="A28" s="150">
        <v>37</v>
      </c>
      <c r="B28" s="150">
        <v>67517</v>
      </c>
      <c r="C28" s="150">
        <v>83731</v>
      </c>
      <c r="D28" s="150">
        <v>104625</v>
      </c>
      <c r="E28" s="150">
        <v>131774</v>
      </c>
      <c r="F28" s="150">
        <v>166912</v>
      </c>
      <c r="G28" s="150">
        <v>212549</v>
      </c>
      <c r="H28" s="150">
        <v>272142</v>
      </c>
      <c r="J28" s="160">
        <f t="shared" si="1"/>
        <v>2.1330005662190964E-2</v>
      </c>
      <c r="K28" s="160">
        <f t="shared" si="1"/>
        <v>3.140263030729188E-2</v>
      </c>
      <c r="L28" s="160">
        <f t="shared" si="1"/>
        <v>4.134257019115601E-2</v>
      </c>
      <c r="M28" s="160">
        <f t="shared" si="1"/>
        <v>5.1204013892500067E-2</v>
      </c>
      <c r="N28" s="160">
        <f t="shared" si="1"/>
        <v>6.0927572589761655E-2</v>
      </c>
      <c r="O28" s="160">
        <f t="shared" si="1"/>
        <v>7.0537103644831567E-2</v>
      </c>
      <c r="P28" s="160">
        <f t="shared" si="1"/>
        <v>8.0070232997673657E-2</v>
      </c>
    </row>
    <row r="29" spans="1:16">
      <c r="A29" s="150">
        <v>38</v>
      </c>
      <c r="B29" s="150">
        <v>70322</v>
      </c>
      <c r="C29" s="150">
        <v>87795</v>
      </c>
      <c r="D29" s="150">
        <v>110536</v>
      </c>
      <c r="E29" s="150">
        <v>140264</v>
      </c>
      <c r="F29" s="150">
        <v>179040</v>
      </c>
      <c r="G29" s="150">
        <v>229949</v>
      </c>
      <c r="H29" s="150">
        <v>296822</v>
      </c>
      <c r="J29" s="160">
        <f t="shared" si="1"/>
        <v>2.1422126446127593E-2</v>
      </c>
      <c r="K29" s="160">
        <f t="shared" si="1"/>
        <v>3.1492983819985998E-2</v>
      </c>
      <c r="L29" s="160">
        <f t="shared" si="1"/>
        <v>4.1449640339038973E-2</v>
      </c>
      <c r="M29" s="160">
        <f t="shared" si="1"/>
        <v>5.1306361951152554E-2</v>
      </c>
      <c r="N29" s="160">
        <f t="shared" si="1"/>
        <v>6.1022826727052643E-2</v>
      </c>
      <c r="O29" s="160">
        <f t="shared" si="1"/>
        <v>7.0648175734098484E-2</v>
      </c>
      <c r="P29" s="160">
        <f t="shared" si="1"/>
        <v>8.0172875282084888E-2</v>
      </c>
    </row>
    <row r="30" spans="1:16">
      <c r="A30" s="150">
        <v>39</v>
      </c>
      <c r="B30" s="150">
        <v>73196</v>
      </c>
      <c r="C30" s="150">
        <v>92000</v>
      </c>
      <c r="D30" s="150">
        <v>116718</v>
      </c>
      <c r="E30" s="150">
        <v>149217</v>
      </c>
      <c r="F30" s="150">
        <v>191969</v>
      </c>
      <c r="G30" s="150">
        <v>248646</v>
      </c>
      <c r="H30" s="150">
        <v>323782</v>
      </c>
      <c r="J30" s="160">
        <f t="shared" si="1"/>
        <v>2.1509240845484546E-2</v>
      </c>
      <c r="K30" s="160">
        <f t="shared" si="1"/>
        <v>3.1578159155930957E-2</v>
      </c>
      <c r="L30" s="160">
        <f t="shared" si="1"/>
        <v>4.1551276334192824E-2</v>
      </c>
      <c r="M30" s="160">
        <f t="shared" si="1"/>
        <v>5.1400292926478061E-2</v>
      </c>
      <c r="N30" s="160">
        <f t="shared" si="1"/>
        <v>6.1113395453216285E-2</v>
      </c>
      <c r="O30" s="160">
        <f t="shared" si="1"/>
        <v>7.0747892449951402E-2</v>
      </c>
      <c r="P30" s="160">
        <f t="shared" si="1"/>
        <v>8.0285684240428534E-2</v>
      </c>
    </row>
    <row r="31" spans="1:16">
      <c r="A31" s="150">
        <v>40</v>
      </c>
      <c r="B31" s="150">
        <v>76141</v>
      </c>
      <c r="C31" s="150">
        <v>96349</v>
      </c>
      <c r="D31" s="150">
        <v>123183</v>
      </c>
      <c r="E31" s="150">
        <v>158685</v>
      </c>
      <c r="F31" s="150">
        <v>205786</v>
      </c>
      <c r="G31" s="150">
        <v>268796</v>
      </c>
      <c r="H31" s="150">
        <v>353077</v>
      </c>
      <c r="J31" s="160">
        <f t="shared" si="1"/>
        <v>2.1591914300106894E-2</v>
      </c>
      <c r="K31" s="160">
        <f t="shared" si="1"/>
        <v>3.1657759020447332E-2</v>
      </c>
      <c r="L31" s="160">
        <f t="shared" si="1"/>
        <v>4.1647723955140076E-2</v>
      </c>
      <c r="M31" s="160">
        <f t="shared" si="1"/>
        <v>5.1493116184208786E-2</v>
      </c>
      <c r="N31" s="160">
        <f t="shared" si="1"/>
        <v>6.120566320852882E-2</v>
      </c>
      <c r="O31" s="160">
        <f t="shared" si="1"/>
        <v>7.0845470520739778E-2</v>
      </c>
      <c r="P31" s="160">
        <f t="shared" si="1"/>
        <v>8.0391095107492039E-2</v>
      </c>
    </row>
    <row r="32" spans="1:16">
      <c r="A32" s="150">
        <v>41</v>
      </c>
      <c r="B32" s="150">
        <v>79346</v>
      </c>
      <c r="C32" s="150">
        <v>101099</v>
      </c>
      <c r="D32" s="150">
        <v>130250</v>
      </c>
      <c r="E32" s="150">
        <v>169072</v>
      </c>
      <c r="F32" s="150">
        <v>221108</v>
      </c>
      <c r="G32" s="150">
        <v>291171</v>
      </c>
      <c r="H32" s="150">
        <v>385853</v>
      </c>
      <c r="J32" s="160">
        <f t="shared" si="1"/>
        <v>2.1771368926405039E-2</v>
      </c>
      <c r="K32" s="160">
        <f t="shared" si="1"/>
        <v>3.1833277696543927E-2</v>
      </c>
      <c r="L32" s="160">
        <f t="shared" si="1"/>
        <v>4.1830023553877424E-2</v>
      </c>
      <c r="M32" s="160">
        <f t="shared" si="1"/>
        <v>5.16664632840549E-2</v>
      </c>
      <c r="N32" s="160">
        <f t="shared" si="1"/>
        <v>6.1388510098250998E-2</v>
      </c>
      <c r="O32" s="160">
        <f t="shared" si="1"/>
        <v>7.1018790670689752E-2</v>
      </c>
      <c r="P32" s="160">
        <f t="shared" si="1"/>
        <v>8.0571732084231337E-2</v>
      </c>
    </row>
    <row r="33" spans="1:16">
      <c r="A33" s="150">
        <v>42</v>
      </c>
      <c r="B33" s="150">
        <v>82659</v>
      </c>
      <c r="C33" s="150">
        <v>106099</v>
      </c>
      <c r="D33" s="150">
        <v>137692</v>
      </c>
      <c r="E33" s="150">
        <v>180109</v>
      </c>
      <c r="F33" s="150">
        <v>237544</v>
      </c>
      <c r="G33" s="150">
        <v>315480</v>
      </c>
      <c r="H33" s="150">
        <v>421664</v>
      </c>
      <c r="J33" s="160">
        <f t="shared" si="1"/>
        <v>2.1950674519461207E-2</v>
      </c>
      <c r="K33" s="160">
        <f t="shared" si="1"/>
        <v>3.2025129641510941E-2</v>
      </c>
      <c r="L33" s="160">
        <f t="shared" si="1"/>
        <v>4.2011114452882331E-2</v>
      </c>
      <c r="M33" s="160">
        <f t="shared" si="1"/>
        <v>5.1838647467782134E-2</v>
      </c>
      <c r="N33" s="160">
        <f t="shared" si="1"/>
        <v>6.1569168182791761E-2</v>
      </c>
      <c r="O33" s="160">
        <f t="shared" si="1"/>
        <v>7.1199748438444843E-2</v>
      </c>
      <c r="P33" s="160">
        <f t="shared" si="1"/>
        <v>8.0749532667595839E-2</v>
      </c>
    </row>
    <row r="34" spans="1:16">
      <c r="A34" s="150">
        <v>43</v>
      </c>
      <c r="B34" s="150">
        <v>86066</v>
      </c>
      <c r="C34" s="150">
        <v>111294</v>
      </c>
      <c r="D34" s="150">
        <v>145499</v>
      </c>
      <c r="E34" s="150">
        <v>191797</v>
      </c>
      <c r="F34" s="150">
        <v>255123</v>
      </c>
      <c r="G34" s="150">
        <v>341802</v>
      </c>
      <c r="H34" s="150">
        <v>460703</v>
      </c>
      <c r="J34" s="160">
        <f t="shared" si="1"/>
        <v>2.2120968783114831E-2</v>
      </c>
      <c r="K34" s="160">
        <f t="shared" si="1"/>
        <v>3.2207143402683686E-2</v>
      </c>
      <c r="L34" s="160">
        <f t="shared" si="1"/>
        <v>4.2182989981168754E-2</v>
      </c>
      <c r="M34" s="160">
        <f t="shared" si="1"/>
        <v>5.2001912367904829E-2</v>
      </c>
      <c r="N34" s="160">
        <f t="shared" si="1"/>
        <v>6.1740317591722403E-2</v>
      </c>
      <c r="O34" s="160">
        <f t="shared" si="1"/>
        <v>7.1377910638786776E-2</v>
      </c>
      <c r="P34" s="160">
        <f t="shared" si="1"/>
        <v>8.0918007893573826E-2</v>
      </c>
    </row>
    <row r="35" spans="1:16">
      <c r="A35" s="150">
        <v>44</v>
      </c>
      <c r="B35" s="150">
        <v>89570</v>
      </c>
      <c r="C35" s="150">
        <v>116690</v>
      </c>
      <c r="D35" s="150">
        <v>153686</v>
      </c>
      <c r="E35" s="150">
        <v>204196</v>
      </c>
      <c r="F35" s="150">
        <v>273919</v>
      </c>
      <c r="G35" s="150">
        <v>370224</v>
      </c>
      <c r="H35" s="150">
        <v>503246</v>
      </c>
      <c r="J35" s="160">
        <f t="shared" si="1"/>
        <v>2.2283044499353696E-2</v>
      </c>
      <c r="K35" s="160">
        <f t="shared" si="1"/>
        <v>3.2379520144819554E-2</v>
      </c>
      <c r="L35" s="160">
        <f t="shared" si="1"/>
        <v>4.2345637893476437E-2</v>
      </c>
      <c r="M35" s="160">
        <f t="shared" si="1"/>
        <v>5.2160475771772775E-2</v>
      </c>
      <c r="N35" s="160">
        <f t="shared" si="1"/>
        <v>6.1901996896676553E-2</v>
      </c>
      <c r="O35" s="160">
        <f t="shared" si="1"/>
        <v>7.1546085892579173E-2</v>
      </c>
      <c r="P35" s="160">
        <f t="shared" si="1"/>
        <v>8.1076915984692091E-2</v>
      </c>
    </row>
    <row r="36" spans="1:16">
      <c r="A36" s="150">
        <v>45</v>
      </c>
      <c r="B36" s="150">
        <v>93174</v>
      </c>
      <c r="C36" s="150">
        <v>122296</v>
      </c>
      <c r="D36" s="150">
        <v>162274</v>
      </c>
      <c r="E36" s="150">
        <v>217410</v>
      </c>
      <c r="F36" s="150">
        <v>294022</v>
      </c>
      <c r="G36" s="150">
        <v>400921</v>
      </c>
      <c r="H36" s="150">
        <v>549620</v>
      </c>
      <c r="J36" s="160">
        <f t="shared" si="1"/>
        <v>2.243756594066328E-2</v>
      </c>
      <c r="K36" s="160">
        <f t="shared" si="1"/>
        <v>3.2543339359469195E-2</v>
      </c>
      <c r="L36" s="160">
        <f t="shared" si="1"/>
        <v>4.2500280859270108E-2</v>
      </c>
      <c r="M36" s="160">
        <f t="shared" si="1"/>
        <v>5.2323569889452096E-2</v>
      </c>
      <c r="N36" s="160">
        <f t="shared" si="1"/>
        <v>6.2055554234350885E-2</v>
      </c>
      <c r="O36" s="160">
        <f t="shared" si="1"/>
        <v>7.170562572905928E-2</v>
      </c>
      <c r="P36" s="160">
        <f t="shared" si="1"/>
        <v>8.1227696965398027E-2</v>
      </c>
    </row>
    <row r="37" spans="1:16">
      <c r="A37" s="150">
        <v>46</v>
      </c>
      <c r="B37" s="150">
        <v>96880</v>
      </c>
      <c r="C37" s="150">
        <v>128121</v>
      </c>
      <c r="D37" s="150">
        <v>171284</v>
      </c>
      <c r="E37" s="150">
        <v>231411</v>
      </c>
      <c r="F37" s="150">
        <v>315628</v>
      </c>
      <c r="G37" s="150">
        <v>434077</v>
      </c>
      <c r="H37" s="150">
        <v>600174</v>
      </c>
      <c r="J37" s="160">
        <f>RATE($A37*12,-100,0,B37)*12</f>
        <v>2.2584706914154949E-2</v>
      </c>
      <c r="K37" s="160">
        <f t="shared" si="1"/>
        <v>3.2699427072563077E-2</v>
      </c>
      <c r="L37" s="160">
        <f t="shared" si="1"/>
        <v>4.264773388606681E-2</v>
      </c>
      <c r="M37" s="160">
        <f t="shared" si="1"/>
        <v>5.2478678947055574E-2</v>
      </c>
      <c r="N37" s="160">
        <f t="shared" si="1"/>
        <v>6.2211806013090815E-2</v>
      </c>
      <c r="O37" s="160">
        <f t="shared" si="1"/>
        <v>7.1857273173099409E-2</v>
      </c>
      <c r="P37" s="160">
        <f t="shared" si="1"/>
        <v>8.1371118097270614E-2</v>
      </c>
    </row>
    <row r="38" spans="1:16">
      <c r="A38" s="150">
        <v>47</v>
      </c>
      <c r="B38" s="150">
        <v>100699</v>
      </c>
      <c r="C38" s="150">
        <v>134172</v>
      </c>
      <c r="D38" s="150">
        <v>180732</v>
      </c>
      <c r="E38" s="150">
        <v>246242</v>
      </c>
      <c r="F38" s="150">
        <v>338795</v>
      </c>
      <c r="G38" s="150">
        <v>469881</v>
      </c>
      <c r="H38" s="150">
        <v>655271</v>
      </c>
      <c r="J38" s="160">
        <f t="shared" si="1"/>
        <v>2.2727899107517303E-2</v>
      </c>
      <c r="K38" s="160">
        <f t="shared" si="1"/>
        <v>3.2847899918786769E-2</v>
      </c>
      <c r="L38" s="160">
        <f t="shared" si="1"/>
        <v>4.2787607997737592E-2</v>
      </c>
      <c r="M38" s="160">
        <f t="shared" si="1"/>
        <v>5.2625854942348435E-2</v>
      </c>
      <c r="N38" s="160">
        <f t="shared" si="1"/>
        <v>6.2364934613722889E-2</v>
      </c>
      <c r="O38" s="160">
        <f t="shared" si="1"/>
        <v>7.2001072839472782E-2</v>
      </c>
      <c r="P38" s="160">
        <f t="shared" si="1"/>
        <v>8.1507077387177607E-2</v>
      </c>
    </row>
    <row r="39" spans="1:16">
      <c r="A39" s="150">
        <v>48</v>
      </c>
      <c r="B39" s="150">
        <v>104671</v>
      </c>
      <c r="C39" s="150">
        <v>140460</v>
      </c>
      <c r="D39" s="150">
        <v>190645</v>
      </c>
      <c r="E39" s="150">
        <v>261959</v>
      </c>
      <c r="F39" s="150">
        <v>363589</v>
      </c>
      <c r="G39" s="150">
        <v>508555</v>
      </c>
      <c r="H39" s="150">
        <v>715334</v>
      </c>
      <c r="J39" s="160">
        <f t="shared" si="1"/>
        <v>2.287960738721698E-2</v>
      </c>
      <c r="K39" s="160">
        <f t="shared" si="1"/>
        <v>3.2989811464378092E-2</v>
      </c>
      <c r="L39" s="160">
        <f t="shared" si="1"/>
        <v>4.2921396489426451E-2</v>
      </c>
      <c r="M39" s="160">
        <f t="shared" si="1"/>
        <v>5.2766449893355299E-2</v>
      </c>
      <c r="N39" s="160">
        <f t="shared" si="1"/>
        <v>6.2511031252520693E-2</v>
      </c>
      <c r="O39" s="160">
        <f t="shared" si="1"/>
        <v>7.2138176818625263E-2</v>
      </c>
      <c r="P39" s="160">
        <f t="shared" si="1"/>
        <v>8.163668727619397E-2</v>
      </c>
    </row>
    <row r="40" spans="1:16">
      <c r="A40" s="150">
        <v>49</v>
      </c>
      <c r="B40" s="150">
        <v>108758</v>
      </c>
      <c r="C40" s="150">
        <v>146992</v>
      </c>
      <c r="D40" s="150">
        <v>201051</v>
      </c>
      <c r="E40" s="150">
        <v>278607</v>
      </c>
      <c r="F40" s="150">
        <v>390115</v>
      </c>
      <c r="G40" s="150">
        <v>550317</v>
      </c>
      <c r="H40" s="150">
        <v>780796</v>
      </c>
      <c r="J40" s="160">
        <f t="shared" si="1"/>
        <v>2.3024440292921187E-2</v>
      </c>
      <c r="K40" s="160">
        <f t="shared" si="1"/>
        <v>3.3125062943767214E-2</v>
      </c>
      <c r="L40" s="160">
        <f t="shared" si="1"/>
        <v>4.3050249797049286E-2</v>
      </c>
      <c r="M40" s="160">
        <f t="shared" si="1"/>
        <v>5.2900025293867364E-2</v>
      </c>
      <c r="N40" s="160">
        <f t="shared" ref="N40:P51" si="2">RATE($A40*12,-100,0,F40)*12</f>
        <v>6.2649861794508738E-2</v>
      </c>
      <c r="O40" s="160">
        <f t="shared" si="2"/>
        <v>7.2268408121551553E-2</v>
      </c>
      <c r="P40" s="160">
        <f t="shared" si="2"/>
        <v>8.175985202503995E-2</v>
      </c>
    </row>
    <row r="41" spans="1:16">
      <c r="A41" s="150">
        <v>50</v>
      </c>
      <c r="B41" s="150">
        <v>112962</v>
      </c>
      <c r="C41" s="150">
        <v>153777</v>
      </c>
      <c r="D41" s="150">
        <v>212061</v>
      </c>
      <c r="E41" s="150">
        <v>296243</v>
      </c>
      <c r="F41" s="150">
        <v>418495</v>
      </c>
      <c r="G41" s="150">
        <v>595417</v>
      </c>
      <c r="H41" s="150">
        <v>852144</v>
      </c>
      <c r="J41" s="160">
        <f t="shared" ref="J41:M51" si="3">RATE($A41*12,-100,0,B41)*12</f>
        <v>2.3162443822740034E-2</v>
      </c>
      <c r="K41" s="160">
        <f t="shared" si="3"/>
        <v>3.3253997550662967E-2</v>
      </c>
      <c r="L41" s="160">
        <f t="shared" si="3"/>
        <v>4.3186688291222901E-2</v>
      </c>
      <c r="M41" s="160">
        <f t="shared" si="3"/>
        <v>5.3027250264111141E-2</v>
      </c>
      <c r="N41" s="160">
        <f t="shared" si="2"/>
        <v>6.2781998069038905E-2</v>
      </c>
      <c r="O41" s="160">
        <f t="shared" si="2"/>
        <v>7.2392405261323331E-2</v>
      </c>
      <c r="P41" s="160">
        <f t="shared" si="2"/>
        <v>8.1877075417973177E-2</v>
      </c>
    </row>
    <row r="42" spans="1:16">
      <c r="A42" s="150">
        <v>51</v>
      </c>
      <c r="B42" s="150">
        <v>117288</v>
      </c>
      <c r="C42" s="150">
        <v>160828</v>
      </c>
      <c r="D42" s="150">
        <v>223618</v>
      </c>
      <c r="E42" s="150">
        <v>315050</v>
      </c>
      <c r="F42" s="150">
        <v>448866</v>
      </c>
      <c r="G42" s="150">
        <v>644133</v>
      </c>
      <c r="H42" s="150">
        <v>929924</v>
      </c>
      <c r="J42" s="160">
        <f t="shared" si="3"/>
        <v>2.3294537722000443E-2</v>
      </c>
      <c r="K42" s="160">
        <f t="shared" si="3"/>
        <v>3.3377646926094878E-2</v>
      </c>
      <c r="L42" s="160">
        <f t="shared" si="3"/>
        <v>4.3317298671310359E-2</v>
      </c>
      <c r="M42" s="160">
        <f t="shared" si="3"/>
        <v>5.3159635946742625E-2</v>
      </c>
      <c r="N42" s="160">
        <f t="shared" si="2"/>
        <v>6.2908337484460106E-2</v>
      </c>
      <c r="O42" s="160">
        <f t="shared" si="2"/>
        <v>7.251104057347009E-2</v>
      </c>
      <c r="P42" s="160">
        <f t="shared" si="2"/>
        <v>8.1989220342942815E-2</v>
      </c>
    </row>
    <row r="43" spans="1:16">
      <c r="A43" s="150">
        <v>52</v>
      </c>
      <c r="B43" s="150">
        <v>121739</v>
      </c>
      <c r="C43" s="150">
        <v>168152</v>
      </c>
      <c r="D43" s="150">
        <v>235745</v>
      </c>
      <c r="E43" s="150">
        <v>335021</v>
      </c>
      <c r="F43" s="150">
        <v>481359</v>
      </c>
      <c r="G43" s="150">
        <v>696739</v>
      </c>
      <c r="H43" s="150">
        <v>1014695</v>
      </c>
      <c r="J43" s="160">
        <f t="shared" si="3"/>
        <v>2.3420939007622897E-2</v>
      </c>
      <c r="K43" s="160">
        <f t="shared" si="3"/>
        <v>3.3495696485108556E-2</v>
      </c>
      <c r="L43" s="160">
        <f t="shared" si="3"/>
        <v>4.3441917435816838E-2</v>
      </c>
      <c r="M43" s="160">
        <f t="shared" si="3"/>
        <v>5.3289178986353762E-2</v>
      </c>
      <c r="N43" s="160">
        <f t="shared" si="2"/>
        <v>6.3028752967406454E-2</v>
      </c>
      <c r="O43" s="160">
        <f t="shared" si="2"/>
        <v>7.2624044656046563E-2</v>
      </c>
      <c r="P43" s="160">
        <f t="shared" si="2"/>
        <v>8.2096073786803003E-2</v>
      </c>
    </row>
    <row r="44" spans="1:16">
      <c r="A44" s="150">
        <v>53</v>
      </c>
      <c r="B44" s="150">
        <v>126320</v>
      </c>
      <c r="C44" s="150">
        <v>175762</v>
      </c>
      <c r="D44" s="150">
        <v>248473</v>
      </c>
      <c r="E44" s="150">
        <v>356192</v>
      </c>
      <c r="F44" s="150">
        <v>516130</v>
      </c>
      <c r="G44" s="150">
        <v>753559</v>
      </c>
      <c r="H44" s="150">
        <v>1107105</v>
      </c>
      <c r="J44" s="160">
        <f t="shared" si="3"/>
        <v>2.3542342310449473E-2</v>
      </c>
      <c r="K44" s="160">
        <f t="shared" si="3"/>
        <v>3.3608911226142707E-2</v>
      </c>
      <c r="L44" s="160">
        <f t="shared" si="3"/>
        <v>4.3561254145032972E-2</v>
      </c>
      <c r="M44" s="160">
        <f t="shared" si="3"/>
        <v>5.3413129190610267E-2</v>
      </c>
      <c r="N44" s="160">
        <f t="shared" si="2"/>
        <v>6.3144019755748834E-2</v>
      </c>
      <c r="O44" s="160">
        <f t="shared" si="2"/>
        <v>7.2732237839025979E-2</v>
      </c>
      <c r="P44" s="160">
        <f t="shared" si="2"/>
        <v>8.2198421332819738E-2</v>
      </c>
    </row>
    <row r="45" spans="1:16">
      <c r="A45" s="150">
        <v>54</v>
      </c>
      <c r="B45" s="150">
        <v>131032</v>
      </c>
      <c r="C45" s="150">
        <v>183667</v>
      </c>
      <c r="D45" s="150">
        <v>261828</v>
      </c>
      <c r="E45" s="150">
        <v>378631</v>
      </c>
      <c r="F45" s="150">
        <v>553330</v>
      </c>
      <c r="G45" s="150">
        <v>814917</v>
      </c>
      <c r="H45" s="150">
        <v>1207817</v>
      </c>
      <c r="J45" s="160">
        <f t="shared" si="3"/>
        <v>2.3658370956780653E-2</v>
      </c>
      <c r="K45" s="160">
        <f t="shared" si="3"/>
        <v>3.3717227630926994E-2</v>
      </c>
      <c r="L45" s="160">
        <f t="shared" si="3"/>
        <v>4.3675224563137965E-2</v>
      </c>
      <c r="M45" s="160">
        <f t="shared" si="3"/>
        <v>5.3531537638993057E-2</v>
      </c>
      <c r="N45" s="160">
        <f t="shared" si="2"/>
        <v>6.3254045068193682E-2</v>
      </c>
      <c r="O45" s="160">
        <f t="shared" si="2"/>
        <v>7.2835495398658384E-2</v>
      </c>
      <c r="P45" s="160">
        <f t="shared" si="2"/>
        <v>8.2296023436032484E-2</v>
      </c>
    </row>
    <row r="46" spans="1:16">
      <c r="A46" s="150">
        <v>55</v>
      </c>
      <c r="B46" s="150">
        <v>135879</v>
      </c>
      <c r="C46" s="150">
        <v>191879</v>
      </c>
      <c r="D46" s="150">
        <v>275843</v>
      </c>
      <c r="E46" s="150">
        <v>402412</v>
      </c>
      <c r="F46" s="150">
        <v>593128</v>
      </c>
      <c r="G46" s="150">
        <v>881175</v>
      </c>
      <c r="H46" s="150">
        <v>1317580</v>
      </c>
      <c r="J46" s="160">
        <f t="shared" si="3"/>
        <v>2.3769417267507129E-2</v>
      </c>
      <c r="K46" s="160">
        <f t="shared" si="3"/>
        <v>3.3821026548582378E-2</v>
      </c>
      <c r="L46" s="160">
        <f t="shared" si="3"/>
        <v>4.3784370891113866E-2</v>
      </c>
      <c r="M46" s="160">
        <f t="shared" si="3"/>
        <v>5.3644627170437637E-2</v>
      </c>
      <c r="N46" s="160">
        <f t="shared" si="2"/>
        <v>6.335913551956443E-2</v>
      </c>
      <c r="O46" s="160">
        <f t="shared" si="2"/>
        <v>7.2934124328159294E-2</v>
      </c>
      <c r="P46" s="160">
        <f t="shared" si="2"/>
        <v>8.238925142284316E-2</v>
      </c>
    </row>
    <row r="47" spans="1:16">
      <c r="A47" s="150">
        <v>56</v>
      </c>
      <c r="B47" s="150">
        <v>140868</v>
      </c>
      <c r="C47" s="150">
        <v>200412</v>
      </c>
      <c r="D47" s="150">
        <v>290553</v>
      </c>
      <c r="E47" s="150">
        <v>427626</v>
      </c>
      <c r="F47" s="150">
        <v>635721</v>
      </c>
      <c r="G47" s="150">
        <v>952749</v>
      </c>
      <c r="H47" s="150">
        <v>1437247</v>
      </c>
      <c r="J47" s="160">
        <f t="shared" si="3"/>
        <v>2.3876438887762579E-2</v>
      </c>
      <c r="K47" s="160">
        <f t="shared" si="3"/>
        <v>3.3920858852020716E-2</v>
      </c>
      <c r="L47" s="160">
        <f t="shared" si="3"/>
        <v>4.3889192433376883E-2</v>
      </c>
      <c r="M47" s="160">
        <f t="shared" si="3"/>
        <v>5.3753359526086626E-2</v>
      </c>
      <c r="N47" s="160">
        <f t="shared" si="2"/>
        <v>6.3460190975403147E-2</v>
      </c>
      <c r="O47" s="160">
        <f t="shared" si="2"/>
        <v>7.3029022521518105E-2</v>
      </c>
      <c r="P47" s="160">
        <f t="shared" si="2"/>
        <v>8.2479011087626536E-2</v>
      </c>
    </row>
    <row r="48" spans="1:16">
      <c r="A48" s="150">
        <v>57</v>
      </c>
      <c r="B48" s="150">
        <v>146000</v>
      </c>
      <c r="C48" s="150">
        <v>209382</v>
      </c>
      <c r="D48" s="150">
        <v>306042</v>
      </c>
      <c r="E48" s="150">
        <v>454352</v>
      </c>
      <c r="F48" s="150">
        <v>681296</v>
      </c>
      <c r="G48" s="150">
        <v>1030048</v>
      </c>
      <c r="H48" s="150">
        <v>1567684</v>
      </c>
      <c r="J48" s="160">
        <f t="shared" si="3"/>
        <v>2.3979017272921434E-2</v>
      </c>
      <c r="K48" s="160">
        <f t="shared" si="3"/>
        <v>3.403028415795277E-2</v>
      </c>
      <c r="L48" s="160">
        <f t="shared" si="3"/>
        <v>4.3994063939868495E-2</v>
      </c>
      <c r="M48" s="160">
        <f t="shared" si="3"/>
        <v>5.3857567379514179E-2</v>
      </c>
      <c r="N48" s="160">
        <f t="shared" si="2"/>
        <v>6.3557098462511633E-2</v>
      </c>
      <c r="O48" s="160">
        <f t="shared" si="2"/>
        <v>7.3119988137832673E-2</v>
      </c>
      <c r="P48" s="160">
        <f t="shared" si="2"/>
        <v>8.2565076442562058E-2</v>
      </c>
    </row>
    <row r="49" spans="1:16">
      <c r="A49" s="150">
        <v>58</v>
      </c>
      <c r="B49" s="150">
        <v>151280</v>
      </c>
      <c r="C49" s="150">
        <v>218704</v>
      </c>
      <c r="D49" s="150">
        <v>322405</v>
      </c>
      <c r="E49" s="150">
        <v>482679</v>
      </c>
      <c r="F49" s="150">
        <v>730056</v>
      </c>
      <c r="G49" s="150">
        <v>1113526</v>
      </c>
      <c r="H49" s="150">
        <v>1709853</v>
      </c>
      <c r="J49" s="160">
        <f t="shared" si="3"/>
        <v>2.4077581436731214E-2</v>
      </c>
      <c r="K49" s="160">
        <f t="shared" si="3"/>
        <v>3.4135126979956049E-2</v>
      </c>
      <c r="L49" s="160">
        <f t="shared" si="3"/>
        <v>4.4102887934126339E-2</v>
      </c>
      <c r="M49" s="160">
        <f t="shared" si="3"/>
        <v>5.3957430856335351E-2</v>
      </c>
      <c r="N49" s="160">
        <f t="shared" si="2"/>
        <v>6.3649913155196913E-2</v>
      </c>
      <c r="O49" s="160">
        <f t="shared" si="2"/>
        <v>7.3207171161606743E-2</v>
      </c>
      <c r="P49" s="160">
        <f t="shared" si="2"/>
        <v>8.2647568716261915E-2</v>
      </c>
    </row>
    <row r="50" spans="1:16">
      <c r="A50" s="150">
        <v>59</v>
      </c>
      <c r="B50" s="150">
        <v>156712</v>
      </c>
      <c r="C50" s="150">
        <v>228393</v>
      </c>
      <c r="D50" s="150">
        <v>339585</v>
      </c>
      <c r="E50" s="150">
        <v>512703</v>
      </c>
      <c r="F50" s="150">
        <v>782225</v>
      </c>
      <c r="G50" s="150">
        <v>1203674</v>
      </c>
      <c r="H50" s="150">
        <v>1864806</v>
      </c>
      <c r="J50" s="160">
        <f t="shared" si="3"/>
        <v>2.4172306836942929E-2</v>
      </c>
      <c r="K50" s="160">
        <f t="shared" si="3"/>
        <v>3.4235790849224387E-2</v>
      </c>
      <c r="L50" s="160">
        <f t="shared" si="3"/>
        <v>4.4207309440706055E-2</v>
      </c>
      <c r="M50" s="160">
        <f t="shared" si="3"/>
        <v>5.4053207897939035E-2</v>
      </c>
      <c r="N50" s="160">
        <f t="shared" si="2"/>
        <v>6.3738919715481498E-2</v>
      </c>
      <c r="O50" s="160">
        <f t="shared" si="2"/>
        <v>7.3290741152405858E-2</v>
      </c>
      <c r="P50" s="160">
        <f t="shared" si="2"/>
        <v>8.2726662912225024E-2</v>
      </c>
    </row>
    <row r="51" spans="1:16" ht="13.5" thickBot="1">
      <c r="A51" s="150">
        <v>60</v>
      </c>
      <c r="B51" s="150">
        <v>162300</v>
      </c>
      <c r="C51" s="150">
        <v>238462</v>
      </c>
      <c r="D51" s="150">
        <v>357619</v>
      </c>
      <c r="E51" s="150">
        <v>544522</v>
      </c>
      <c r="F51" s="150">
        <v>838037</v>
      </c>
      <c r="G51" s="150">
        <v>1301019</v>
      </c>
      <c r="H51" s="150">
        <v>2033676</v>
      </c>
      <c r="J51" s="160">
        <f t="shared" si="3"/>
        <v>2.4263342593303299E-2</v>
      </c>
      <c r="K51" s="160">
        <f t="shared" si="3"/>
        <v>3.433235559373634E-2</v>
      </c>
      <c r="L51" s="160">
        <f t="shared" si="3"/>
        <v>4.4307323361000288E-2</v>
      </c>
      <c r="M51" s="160">
        <f t="shared" si="3"/>
        <v>5.4144978843973859E-2</v>
      </c>
      <c r="N51" s="160">
        <f t="shared" si="2"/>
        <v>6.3824224142156091E-2</v>
      </c>
      <c r="O51" s="160">
        <f t="shared" si="2"/>
        <v>7.3370813684399058E-2</v>
      </c>
      <c r="P51" s="160">
        <f t="shared" si="2"/>
        <v>8.2802390293931924E-2</v>
      </c>
    </row>
    <row r="52" spans="1:16" s="153" customFormat="1">
      <c r="I52" s="162" t="s">
        <v>0</v>
      </c>
    </row>
    <row r="53" spans="1:16" s="153" customFormat="1" ht="13.5" thickBot="1">
      <c r="I53" s="163">
        <f>SUM(J53:P53)</f>
        <v>4.5013606521350752E-2</v>
      </c>
      <c r="J53" s="160">
        <f>IF(Hilfe!$E$3='FSX (Einzel)'!J2,VLOOKUP(Hilfe!$B$54,$A$3:$P$51,10),0)</f>
        <v>0</v>
      </c>
      <c r="K53" s="160">
        <f>IF(Hilfe!$E$3='FSX (Einzel)'!K2,VLOOKUP(Hilfe!$B$54,$A$3:$P$51,11),0)</f>
        <v>0</v>
      </c>
      <c r="L53" s="160">
        <f>IF(Hilfe!$E$3='FSX (Einzel)'!L2,VLOOKUP(Hilfe!$B$54,$A$3:$P$51,12),0)</f>
        <v>0</v>
      </c>
      <c r="M53" s="160">
        <f>IF(Hilfe!$E$3='FSX (Einzel)'!M2,VLOOKUP(Hilfe!$B$54,$A$3:$P$51,13),0)</f>
        <v>4.5013606521350752E-2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P53"/>
  <sheetViews>
    <sheetView topLeftCell="A28" workbookViewId="0">
      <selection activeCell="F63" sqref="F6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128</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0">
        <v>15981</v>
      </c>
      <c r="C3" s="150">
        <v>17013</v>
      </c>
      <c r="D3" s="150">
        <v>18119</v>
      </c>
      <c r="E3" s="150">
        <v>19306</v>
      </c>
      <c r="F3" s="150">
        <v>20577</v>
      </c>
      <c r="G3" s="150">
        <v>21943</v>
      </c>
      <c r="H3" s="150">
        <v>23409</v>
      </c>
      <c r="J3" s="160">
        <f>RATE($A$3*12,-100,0,B3)*12</f>
        <v>1.7198467616120081E-2</v>
      </c>
      <c r="K3" s="160">
        <f t="shared" ref="K3:P3" si="0">RATE($A3*12,-100,0,C3)*12</f>
        <v>2.7270401406689286E-2</v>
      </c>
      <c r="L3" s="160">
        <f t="shared" si="0"/>
        <v>3.7225449146776501E-2</v>
      </c>
      <c r="M3" s="160">
        <f t="shared" si="0"/>
        <v>4.7081020804159809E-2</v>
      </c>
      <c r="N3" s="160">
        <f t="shared" si="0"/>
        <v>5.6818064831684653E-2</v>
      </c>
      <c r="O3" s="160">
        <f t="shared" si="0"/>
        <v>6.6475642434443968E-2</v>
      </c>
      <c r="P3" s="160">
        <f t="shared" si="0"/>
        <v>7.6041833643417447E-2</v>
      </c>
    </row>
    <row r="4" spans="1:16">
      <c r="A4" s="150">
        <v>13</v>
      </c>
      <c r="B4" s="150">
        <v>17552</v>
      </c>
      <c r="C4" s="150">
        <v>18788</v>
      </c>
      <c r="D4" s="150">
        <v>20122</v>
      </c>
      <c r="E4" s="150">
        <v>21561</v>
      </c>
      <c r="F4" s="150">
        <v>23119</v>
      </c>
      <c r="G4" s="150">
        <v>24801</v>
      </c>
      <c r="H4" s="150">
        <v>26619</v>
      </c>
      <c r="J4" s="160">
        <f t="shared" ref="J4:P40" si="1">RATE($A4*12,-100,0,B4)*12</f>
        <v>1.7918985546827346E-2</v>
      </c>
      <c r="K4" s="160">
        <f t="shared" si="1"/>
        <v>2.7974138799208147E-2</v>
      </c>
      <c r="L4" s="160">
        <f t="shared" si="1"/>
        <v>3.791371010010549E-2</v>
      </c>
      <c r="M4" s="160">
        <f t="shared" si="1"/>
        <v>4.7736112472750697E-2</v>
      </c>
      <c r="N4" s="160">
        <f t="shared" si="1"/>
        <v>5.7479724177517788E-2</v>
      </c>
      <c r="O4" s="160">
        <f t="shared" si="1"/>
        <v>6.7118458594516622E-2</v>
      </c>
      <c r="P4" s="160">
        <f t="shared" si="1"/>
        <v>7.6666497463604724E-2</v>
      </c>
    </row>
    <row r="5" spans="1:16">
      <c r="A5" s="150">
        <v>14</v>
      </c>
      <c r="B5" s="150">
        <v>19161</v>
      </c>
      <c r="C5" s="150">
        <v>20623</v>
      </c>
      <c r="D5" s="150">
        <v>22214</v>
      </c>
      <c r="E5" s="150">
        <v>23945</v>
      </c>
      <c r="F5" s="150">
        <v>25829</v>
      </c>
      <c r="G5" s="150">
        <v>27878</v>
      </c>
      <c r="H5" s="150">
        <v>30108</v>
      </c>
      <c r="J5" s="160">
        <f t="shared" si="1"/>
        <v>1.8510891851544045E-2</v>
      </c>
      <c r="K5" s="160">
        <f t="shared" si="1"/>
        <v>2.8546187734529205E-2</v>
      </c>
      <c r="L5" s="160">
        <f t="shared" si="1"/>
        <v>3.847882293858295E-2</v>
      </c>
      <c r="M5" s="160">
        <f t="shared" si="1"/>
        <v>4.8308347849751826E-2</v>
      </c>
      <c r="N5" s="160">
        <f t="shared" si="1"/>
        <v>5.8040268530509254E-2</v>
      </c>
      <c r="O5" s="160">
        <f t="shared" si="1"/>
        <v>6.7669755200141901E-2</v>
      </c>
      <c r="P5" s="160">
        <f t="shared" si="1"/>
        <v>7.7206088325168815E-2</v>
      </c>
    </row>
    <row r="6" spans="1:16">
      <c r="A6" s="150">
        <v>15</v>
      </c>
      <c r="B6" s="150">
        <v>20814</v>
      </c>
      <c r="C6" s="150">
        <v>22527</v>
      </c>
      <c r="D6" s="150">
        <v>24405</v>
      </c>
      <c r="E6" s="150">
        <v>26463</v>
      </c>
      <c r="F6" s="150">
        <v>28719</v>
      </c>
      <c r="G6" s="150">
        <v>31190</v>
      </c>
      <c r="H6" s="150">
        <v>33899</v>
      </c>
      <c r="J6" s="160">
        <f t="shared" si="1"/>
        <v>1.9036039743556329E-2</v>
      </c>
      <c r="K6" s="160">
        <f t="shared" si="1"/>
        <v>2.9057551234519377E-2</v>
      </c>
      <c r="L6" s="160">
        <f t="shared" si="1"/>
        <v>3.8980432431841586E-2</v>
      </c>
      <c r="M6" s="160">
        <f t="shared" si="1"/>
        <v>4.8801244684165426E-2</v>
      </c>
      <c r="N6" s="160">
        <f t="shared" si="1"/>
        <v>5.8524627176824856E-2</v>
      </c>
      <c r="O6" s="160">
        <f t="shared" si="1"/>
        <v>6.8144567050848467E-2</v>
      </c>
      <c r="P6" s="160">
        <f t="shared" si="1"/>
        <v>7.767223780447749E-2</v>
      </c>
    </row>
    <row r="7" spans="1:16">
      <c r="A7" s="150">
        <v>16</v>
      </c>
      <c r="B7" s="150">
        <v>22508</v>
      </c>
      <c r="C7" s="150">
        <v>24500</v>
      </c>
      <c r="D7" s="150">
        <v>26698</v>
      </c>
      <c r="E7" s="150">
        <v>29123</v>
      </c>
      <c r="F7" s="150">
        <v>31799</v>
      </c>
      <c r="G7" s="150">
        <v>34756</v>
      </c>
      <c r="H7" s="150">
        <v>38018</v>
      </c>
      <c r="J7" s="160">
        <f t="shared" si="1"/>
        <v>1.9482408319807888E-2</v>
      </c>
      <c r="K7" s="160">
        <f t="shared" si="1"/>
        <v>2.9504384581550653E-2</v>
      </c>
      <c r="L7" s="160">
        <f t="shared" si="1"/>
        <v>3.9420991988403896E-2</v>
      </c>
      <c r="M7" s="160">
        <f t="shared" si="1"/>
        <v>4.9231859818987408E-2</v>
      </c>
      <c r="N7" s="160">
        <f t="shared" si="1"/>
        <v>5.8940411505727763E-2</v>
      </c>
      <c r="O7" s="160">
        <f t="shared" si="1"/>
        <v>6.8560763829444829E-2</v>
      </c>
      <c r="P7" s="160">
        <f t="shared" si="1"/>
        <v>7.8078287070289201E-2</v>
      </c>
    </row>
    <row r="8" spans="1:16">
      <c r="A8" s="150">
        <v>17</v>
      </c>
      <c r="B8" s="150">
        <v>24246</v>
      </c>
      <c r="C8" s="150">
        <v>26544</v>
      </c>
      <c r="D8" s="150">
        <v>29096</v>
      </c>
      <c r="E8" s="150">
        <v>31933</v>
      </c>
      <c r="F8" s="150">
        <v>35086</v>
      </c>
      <c r="G8" s="150">
        <v>38595</v>
      </c>
      <c r="H8" s="150">
        <v>42493</v>
      </c>
      <c r="J8" s="160">
        <f t="shared" si="1"/>
        <v>1.9875255292896188E-2</v>
      </c>
      <c r="K8" s="160">
        <f t="shared" si="1"/>
        <v>2.9896048756432286E-2</v>
      </c>
      <c r="L8" s="160">
        <f t="shared" si="1"/>
        <v>3.9804477735055042E-2</v>
      </c>
      <c r="M8" s="160">
        <f t="shared" si="1"/>
        <v>4.9611127755458971E-2</v>
      </c>
      <c r="N8" s="160">
        <f t="shared" si="1"/>
        <v>5.9314044248214702E-2</v>
      </c>
      <c r="O8" s="160">
        <f t="shared" si="1"/>
        <v>6.892708428312061E-2</v>
      </c>
      <c r="P8" s="160">
        <f t="shared" si="1"/>
        <v>7.8434021118883368E-2</v>
      </c>
    </row>
    <row r="9" spans="1:16">
      <c r="A9" s="150">
        <v>18</v>
      </c>
      <c r="B9" s="150">
        <v>26029</v>
      </c>
      <c r="C9" s="150">
        <v>28661</v>
      </c>
      <c r="D9" s="150">
        <v>31606</v>
      </c>
      <c r="E9" s="150">
        <v>34900</v>
      </c>
      <c r="F9" s="150">
        <v>38591</v>
      </c>
      <c r="G9" s="150">
        <v>42724</v>
      </c>
      <c r="H9" s="150">
        <v>47357</v>
      </c>
      <c r="J9" s="160">
        <f t="shared" si="1"/>
        <v>2.0223049947457543E-2</v>
      </c>
      <c r="K9" s="160">
        <f t="shared" si="1"/>
        <v>3.0240109918437508E-2</v>
      </c>
      <c r="L9" s="160">
        <f t="shared" si="1"/>
        <v>4.0148101513433065E-2</v>
      </c>
      <c r="M9" s="160">
        <f t="shared" si="1"/>
        <v>4.994351118007033E-2</v>
      </c>
      <c r="N9" s="160">
        <f t="shared" si="1"/>
        <v>5.9644061643860338E-2</v>
      </c>
      <c r="O9" s="160">
        <f t="shared" si="1"/>
        <v>6.9243272017989327E-2</v>
      </c>
      <c r="P9" s="160">
        <f t="shared" si="1"/>
        <v>7.87523307916837E-2</v>
      </c>
    </row>
    <row r="10" spans="1:16">
      <c r="A10" s="150">
        <v>19</v>
      </c>
      <c r="B10" s="150">
        <v>27859</v>
      </c>
      <c r="C10" s="150">
        <v>30853</v>
      </c>
      <c r="D10" s="150">
        <v>34228</v>
      </c>
      <c r="E10" s="150">
        <v>38035</v>
      </c>
      <c r="F10" s="150">
        <v>42330</v>
      </c>
      <c r="G10" s="150">
        <v>47171</v>
      </c>
      <c r="H10" s="150">
        <v>52650</v>
      </c>
      <c r="J10" s="160">
        <f t="shared" si="1"/>
        <v>2.053606932990204E-2</v>
      </c>
      <c r="K10" s="160">
        <f t="shared" si="1"/>
        <v>3.0542756459646804E-2</v>
      </c>
      <c r="L10" s="160">
        <f t="shared" si="1"/>
        <v>4.0443267319595008E-2</v>
      </c>
      <c r="M10" s="160">
        <f t="shared" si="1"/>
        <v>5.024242373616862E-2</v>
      </c>
      <c r="N10" s="160">
        <f t="shared" si="1"/>
        <v>5.9940802992646182E-2</v>
      </c>
      <c r="O10" s="160">
        <f t="shared" si="1"/>
        <v>6.9529915462713449E-2</v>
      </c>
      <c r="P10" s="160">
        <f t="shared" si="1"/>
        <v>7.9048636124375488E-2</v>
      </c>
    </row>
    <row r="11" spans="1:16">
      <c r="A11" s="150">
        <v>20</v>
      </c>
      <c r="B11" s="150">
        <v>29736</v>
      </c>
      <c r="C11" s="150">
        <v>33127</v>
      </c>
      <c r="D11" s="150">
        <v>36976</v>
      </c>
      <c r="E11" s="150">
        <v>41348</v>
      </c>
      <c r="F11" s="150">
        <v>46318</v>
      </c>
      <c r="G11" s="150">
        <v>51971</v>
      </c>
      <c r="H11" s="150">
        <v>58425</v>
      </c>
      <c r="J11" s="160">
        <f t="shared" si="1"/>
        <v>2.0815318488296153E-2</v>
      </c>
      <c r="K11" s="160">
        <f t="shared" si="1"/>
        <v>3.0822891048657867E-2</v>
      </c>
      <c r="L11" s="160">
        <f t="shared" si="1"/>
        <v>4.0720633719349003E-2</v>
      </c>
      <c r="M11" s="160">
        <f t="shared" si="1"/>
        <v>5.0513577975460106E-2</v>
      </c>
      <c r="N11" s="160">
        <f t="shared" si="1"/>
        <v>6.0207773410794724E-2</v>
      </c>
      <c r="O11" s="160">
        <f t="shared" si="1"/>
        <v>6.9807373130140876E-2</v>
      </c>
      <c r="P11" s="160">
        <f t="shared" si="1"/>
        <v>7.9345145282529769E-2</v>
      </c>
    </row>
    <row r="12" spans="1:16">
      <c r="A12" s="150">
        <v>21</v>
      </c>
      <c r="B12" s="150">
        <v>31663</v>
      </c>
      <c r="C12" s="150">
        <v>35482</v>
      </c>
      <c r="D12" s="150">
        <v>39851</v>
      </c>
      <c r="E12" s="150">
        <v>44849</v>
      </c>
      <c r="F12" s="150">
        <v>50572</v>
      </c>
      <c r="G12" s="150">
        <v>57159</v>
      </c>
      <c r="H12" s="150">
        <v>64704</v>
      </c>
      <c r="J12" s="160">
        <f t="shared" si="1"/>
        <v>2.1070991997209434E-2</v>
      </c>
      <c r="K12" s="160">
        <f t="shared" si="1"/>
        <v>3.1072692052841668E-2</v>
      </c>
      <c r="L12" s="160">
        <f t="shared" si="1"/>
        <v>4.0970372181894033E-2</v>
      </c>
      <c r="M12" s="160">
        <f t="shared" si="1"/>
        <v>5.0760348035224251E-2</v>
      </c>
      <c r="N12" s="160">
        <f t="shared" si="1"/>
        <v>6.0449782730990179E-2</v>
      </c>
      <c r="O12" s="160">
        <f t="shared" si="1"/>
        <v>7.0083414004478678E-2</v>
      </c>
      <c r="P12" s="160">
        <f t="shared" si="1"/>
        <v>7.9611433860679592E-2</v>
      </c>
    </row>
    <row r="13" spans="1:16">
      <c r="A13" s="150">
        <v>22</v>
      </c>
      <c r="B13" s="150">
        <v>33637</v>
      </c>
      <c r="C13" s="150">
        <v>37924</v>
      </c>
      <c r="D13" s="150">
        <v>42859</v>
      </c>
      <c r="E13" s="150">
        <v>48546</v>
      </c>
      <c r="F13" s="150">
        <v>55133</v>
      </c>
      <c r="G13" s="150">
        <v>62747</v>
      </c>
      <c r="H13" s="150">
        <v>71529</v>
      </c>
      <c r="J13" s="160">
        <f t="shared" si="1"/>
        <v>2.1294963358598568E-2</v>
      </c>
      <c r="K13" s="160">
        <f t="shared" si="1"/>
        <v>3.1303494699613743E-2</v>
      </c>
      <c r="L13" s="160">
        <f t="shared" si="1"/>
        <v>4.1196599347163243E-2</v>
      </c>
      <c r="M13" s="160">
        <f t="shared" si="1"/>
        <v>5.0981522144974332E-2</v>
      </c>
      <c r="N13" s="160">
        <f t="shared" si="1"/>
        <v>6.0701877496443603E-2</v>
      </c>
      <c r="O13" s="160">
        <f t="shared" si="1"/>
        <v>7.0331836295282751E-2</v>
      </c>
      <c r="P13" s="160">
        <f t="shared" si="1"/>
        <v>7.9849751263749061E-2</v>
      </c>
    </row>
    <row r="14" spans="1:16">
      <c r="A14" s="150">
        <v>23</v>
      </c>
      <c r="B14" s="150">
        <v>35663</v>
      </c>
      <c r="C14" s="150">
        <v>40452</v>
      </c>
      <c r="D14" s="150">
        <v>46005</v>
      </c>
      <c r="E14" s="150">
        <v>52468</v>
      </c>
      <c r="F14" s="150">
        <v>60001</v>
      </c>
      <c r="G14" s="150">
        <v>68764</v>
      </c>
      <c r="H14" s="150">
        <v>78953</v>
      </c>
      <c r="J14" s="160">
        <f t="shared" si="1"/>
        <v>2.1501165867494565E-2</v>
      </c>
      <c r="K14" s="160">
        <f t="shared" si="1"/>
        <v>3.1509126371628789E-2</v>
      </c>
      <c r="L14" s="160">
        <f t="shared" si="1"/>
        <v>4.1400537776037541E-2</v>
      </c>
      <c r="M14" s="160">
        <f t="shared" si="1"/>
        <v>5.1206055133138896E-2</v>
      </c>
      <c r="N14" s="160">
        <f t="shared" si="1"/>
        <v>6.0931960495908183E-2</v>
      </c>
      <c r="O14" s="160">
        <f t="shared" si="1"/>
        <v>7.0554599300251236E-2</v>
      </c>
      <c r="P14" s="160">
        <f t="shared" si="1"/>
        <v>8.0068896026578823E-2</v>
      </c>
    </row>
    <row r="15" spans="1:16">
      <c r="A15" s="150">
        <v>24</v>
      </c>
      <c r="B15" s="150">
        <v>37744</v>
      </c>
      <c r="C15" s="150">
        <v>43071</v>
      </c>
      <c r="D15" s="150">
        <v>49299</v>
      </c>
      <c r="E15" s="150">
        <v>56621</v>
      </c>
      <c r="F15" s="150">
        <v>65201</v>
      </c>
      <c r="G15" s="150">
        <v>75246</v>
      </c>
      <c r="H15" s="150">
        <v>87027</v>
      </c>
      <c r="J15" s="160">
        <f t="shared" si="1"/>
        <v>2.1694924668247541E-2</v>
      </c>
      <c r="K15" s="160">
        <f t="shared" si="1"/>
        <v>3.1696748389131543E-2</v>
      </c>
      <c r="L15" s="160">
        <f t="shared" si="1"/>
        <v>4.1590623521171391E-2</v>
      </c>
      <c r="M15" s="160">
        <f t="shared" si="1"/>
        <v>5.1421099896121203E-2</v>
      </c>
      <c r="N15" s="160">
        <f t="shared" si="1"/>
        <v>6.1147217874720147E-2</v>
      </c>
      <c r="O15" s="160">
        <f t="shared" si="1"/>
        <v>7.0758043690787698E-2</v>
      </c>
      <c r="P15" s="160">
        <f t="shared" si="1"/>
        <v>8.0269745465487818E-2</v>
      </c>
    </row>
    <row r="16" spans="1:16">
      <c r="A16" s="150">
        <v>25</v>
      </c>
      <c r="B16" s="150">
        <v>39879</v>
      </c>
      <c r="C16" s="150">
        <v>45787</v>
      </c>
      <c r="D16" s="150">
        <v>52763</v>
      </c>
      <c r="E16" s="150">
        <v>61016</v>
      </c>
      <c r="F16" s="150">
        <v>70750</v>
      </c>
      <c r="G16" s="150">
        <v>82234</v>
      </c>
      <c r="H16" s="150">
        <v>95807</v>
      </c>
      <c r="J16" s="160">
        <f t="shared" si="1"/>
        <v>2.1872553555933892E-2</v>
      </c>
      <c r="K16" s="160">
        <f t="shared" si="1"/>
        <v>3.1872829678019868E-2</v>
      </c>
      <c r="L16" s="160">
        <f t="shared" si="1"/>
        <v>4.1787694433519824E-2</v>
      </c>
      <c r="M16" s="160">
        <f t="shared" si="1"/>
        <v>5.1623736914960916E-2</v>
      </c>
      <c r="N16" s="160">
        <f t="shared" si="1"/>
        <v>6.1343620068514272E-2</v>
      </c>
      <c r="O16" s="160">
        <f t="shared" si="1"/>
        <v>7.094836326842123E-2</v>
      </c>
      <c r="P16" s="160">
        <f t="shared" si="1"/>
        <v>8.0453792826247775E-2</v>
      </c>
    </row>
    <row r="17" spans="1:16">
      <c r="A17" s="150">
        <v>26</v>
      </c>
      <c r="B17" s="150">
        <v>42067</v>
      </c>
      <c r="C17" s="150">
        <v>48603</v>
      </c>
      <c r="D17" s="150">
        <v>56397</v>
      </c>
      <c r="E17" s="150">
        <v>65663</v>
      </c>
      <c r="F17" s="150">
        <v>76669</v>
      </c>
      <c r="G17" s="150">
        <v>89760</v>
      </c>
      <c r="H17" s="150">
        <v>105371</v>
      </c>
      <c r="J17" s="160">
        <f t="shared" si="1"/>
        <v>2.2031940762525137E-2</v>
      </c>
      <c r="K17" s="160">
        <f t="shared" si="1"/>
        <v>3.2037446564858969E-2</v>
      </c>
      <c r="L17" s="160">
        <f t="shared" si="1"/>
        <v>4.1978135188725035E-2</v>
      </c>
      <c r="M17" s="160">
        <f t="shared" si="1"/>
        <v>5.1810780040584252E-2</v>
      </c>
      <c r="N17" s="160">
        <f t="shared" si="1"/>
        <v>6.1521513627154897E-2</v>
      </c>
      <c r="O17" s="160">
        <f t="shared" si="1"/>
        <v>7.1121553691360806E-2</v>
      </c>
      <c r="P17" s="160">
        <f t="shared" si="1"/>
        <v>8.0632006673960616E-2</v>
      </c>
    </row>
    <row r="18" spans="1:16">
      <c r="A18" s="150">
        <v>27</v>
      </c>
      <c r="B18" s="150">
        <v>44314</v>
      </c>
      <c r="C18" s="150">
        <v>51531</v>
      </c>
      <c r="D18" s="150">
        <v>60205</v>
      </c>
      <c r="E18" s="150">
        <v>70573</v>
      </c>
      <c r="F18" s="150">
        <v>82990</v>
      </c>
      <c r="G18" s="150">
        <v>97871</v>
      </c>
      <c r="H18" s="150">
        <v>115808</v>
      </c>
      <c r="J18" s="160">
        <f t="shared" si="1"/>
        <v>2.2182764641484394E-2</v>
      </c>
      <c r="K18" s="160">
        <f t="shared" si="1"/>
        <v>3.220213521397132E-2</v>
      </c>
      <c r="L18" s="160">
        <f t="shared" si="1"/>
        <v>4.2157137219866928E-2</v>
      </c>
      <c r="M18" s="160">
        <f t="shared" si="1"/>
        <v>5.1980929943765089E-2</v>
      </c>
      <c r="N18" s="160">
        <f t="shared" si="1"/>
        <v>6.1688507391684085E-2</v>
      </c>
      <c r="O18" s="160">
        <f t="shared" si="1"/>
        <v>7.1283015055102372E-2</v>
      </c>
      <c r="P18" s="160">
        <f t="shared" si="1"/>
        <v>8.0813036316040462E-2</v>
      </c>
    </row>
    <row r="19" spans="1:16">
      <c r="A19" s="150">
        <v>28</v>
      </c>
      <c r="B19" s="150">
        <v>46620</v>
      </c>
      <c r="C19" s="150">
        <v>54582</v>
      </c>
      <c r="D19" s="150">
        <v>64190</v>
      </c>
      <c r="E19" s="150">
        <v>75767</v>
      </c>
      <c r="F19" s="150">
        <v>89733</v>
      </c>
      <c r="G19" s="150">
        <v>106646</v>
      </c>
      <c r="H19" s="150">
        <v>127164</v>
      </c>
      <c r="J19" s="160">
        <f t="shared" si="1"/>
        <v>2.2323368628472579E-2</v>
      </c>
      <c r="K19" s="160">
        <f t="shared" si="1"/>
        <v>3.237305970604952E-2</v>
      </c>
      <c r="L19" s="160">
        <f t="shared" si="1"/>
        <v>4.2320584748953345E-2</v>
      </c>
      <c r="M19" s="160">
        <f t="shared" si="1"/>
        <v>5.2140993722180708E-2</v>
      </c>
      <c r="N19" s="160">
        <f t="shared" si="1"/>
        <v>6.1840838921781008E-2</v>
      </c>
      <c r="O19" s="160">
        <f t="shared" si="1"/>
        <v>7.1451046963104725E-2</v>
      </c>
      <c r="P19" s="160">
        <f t="shared" si="1"/>
        <v>8.0980326767173025E-2</v>
      </c>
    </row>
    <row r="20" spans="1:16">
      <c r="A20" s="150">
        <v>29</v>
      </c>
      <c r="B20" s="150">
        <v>48987</v>
      </c>
      <c r="C20" s="150">
        <v>57741</v>
      </c>
      <c r="D20" s="150">
        <v>68364</v>
      </c>
      <c r="E20" s="150">
        <v>81259</v>
      </c>
      <c r="F20" s="150">
        <v>96930</v>
      </c>
      <c r="G20" s="150">
        <v>116115</v>
      </c>
      <c r="H20" s="150">
        <v>139526</v>
      </c>
      <c r="J20" s="160">
        <f t="shared" si="1"/>
        <v>2.2455316815223419E-2</v>
      </c>
      <c r="K20" s="160">
        <f t="shared" si="1"/>
        <v>3.2526760836677833E-2</v>
      </c>
      <c r="L20" s="160">
        <f t="shared" si="1"/>
        <v>4.2473540993419601E-2</v>
      </c>
      <c r="M20" s="160">
        <f t="shared" si="1"/>
        <v>5.2290067106194826E-2</v>
      </c>
      <c r="N20" s="160">
        <f t="shared" si="1"/>
        <v>6.1982416827218653E-2</v>
      </c>
      <c r="O20" s="160">
        <f t="shared" si="1"/>
        <v>7.1611757429195427E-2</v>
      </c>
      <c r="P20" s="160">
        <f t="shared" si="1"/>
        <v>8.1137534465618485E-2</v>
      </c>
    </row>
    <row r="21" spans="1:16">
      <c r="A21" s="150">
        <v>30</v>
      </c>
      <c r="B21" s="150">
        <v>51429</v>
      </c>
      <c r="C21" s="150">
        <v>61021</v>
      </c>
      <c r="D21" s="150">
        <v>72733</v>
      </c>
      <c r="E21" s="150">
        <v>87058</v>
      </c>
      <c r="F21" s="150">
        <v>104641</v>
      </c>
      <c r="G21" s="150">
        <v>126332</v>
      </c>
      <c r="H21" s="150">
        <v>152972</v>
      </c>
      <c r="J21" s="160">
        <f t="shared" si="1"/>
        <v>2.2593864710918659E-2</v>
      </c>
      <c r="K21" s="160">
        <f t="shared" si="1"/>
        <v>3.2674184253400004E-2</v>
      </c>
      <c r="L21" s="160">
        <f t="shared" si="1"/>
        <v>4.2614674357000143E-2</v>
      </c>
      <c r="M21" s="160">
        <f t="shared" si="1"/>
        <v>5.2424210271514719E-2</v>
      </c>
      <c r="N21" s="160">
        <f t="shared" si="1"/>
        <v>6.2128896275314663E-2</v>
      </c>
      <c r="O21" s="160">
        <f t="shared" si="1"/>
        <v>7.1764952162869072E-2</v>
      </c>
      <c r="P21" s="160">
        <f t="shared" si="1"/>
        <v>8.1281835244673181E-2</v>
      </c>
    </row>
    <row r="22" spans="1:16">
      <c r="A22" s="150">
        <v>31</v>
      </c>
      <c r="B22" s="150">
        <v>53944</v>
      </c>
      <c r="C22" s="150">
        <v>64422</v>
      </c>
      <c r="D22" s="150">
        <v>77308</v>
      </c>
      <c r="E22" s="150">
        <v>93194</v>
      </c>
      <c r="F22" s="150">
        <v>112903</v>
      </c>
      <c r="G22" s="150">
        <v>137332</v>
      </c>
      <c r="H22" s="150">
        <v>167601</v>
      </c>
      <c r="J22" s="160">
        <f t="shared" si="1"/>
        <v>2.273222758792047E-2</v>
      </c>
      <c r="K22" s="160">
        <f t="shared" si="1"/>
        <v>3.2811524993835994E-2</v>
      </c>
      <c r="L22" s="160">
        <f t="shared" si="1"/>
        <v>4.2746570689195636E-2</v>
      </c>
      <c r="M22" s="160">
        <f t="shared" si="1"/>
        <v>5.2552463669987615E-2</v>
      </c>
      <c r="N22" s="160">
        <f t="shared" si="1"/>
        <v>6.2278338912831771E-2</v>
      </c>
      <c r="O22" s="160">
        <f t="shared" si="1"/>
        <v>7.1902429867757925E-2</v>
      </c>
      <c r="P22" s="160">
        <f t="shared" si="1"/>
        <v>8.1415798241161408E-2</v>
      </c>
    </row>
    <row r="23" spans="1:16">
      <c r="A23" s="150">
        <v>32</v>
      </c>
      <c r="B23" s="150">
        <v>56529</v>
      </c>
      <c r="C23" s="150">
        <v>67948</v>
      </c>
      <c r="D23" s="150">
        <v>82100</v>
      </c>
      <c r="E23" s="150">
        <v>99681</v>
      </c>
      <c r="F23" s="150">
        <v>121724</v>
      </c>
      <c r="G23" s="150">
        <v>149206</v>
      </c>
      <c r="H23" s="150">
        <v>183515</v>
      </c>
      <c r="J23" s="160">
        <f t="shared" si="1"/>
        <v>2.2864474734549584E-2</v>
      </c>
      <c r="K23" s="160">
        <f t="shared" si="1"/>
        <v>3.2939397136315267E-2</v>
      </c>
      <c r="L23" s="160">
        <f t="shared" si="1"/>
        <v>4.2870886280744654E-2</v>
      </c>
      <c r="M23" s="160">
        <f t="shared" si="1"/>
        <v>5.2672277385992811E-2</v>
      </c>
      <c r="N23" s="160">
        <f t="shared" si="1"/>
        <v>6.241673879592094E-2</v>
      </c>
      <c r="O23" s="160">
        <f t="shared" si="1"/>
        <v>7.2035933587751746E-2</v>
      </c>
      <c r="P23" s="160">
        <f t="shared" si="1"/>
        <v>8.153992664890175E-2</v>
      </c>
    </row>
    <row r="24" spans="1:16">
      <c r="A24" s="150">
        <v>33</v>
      </c>
      <c r="B24" s="150">
        <v>59182</v>
      </c>
      <c r="C24" s="150">
        <v>71604</v>
      </c>
      <c r="D24" s="150">
        <v>87117</v>
      </c>
      <c r="E24" s="150">
        <v>106593</v>
      </c>
      <c r="F24" s="150">
        <v>131143</v>
      </c>
      <c r="G24" s="150">
        <v>161999</v>
      </c>
      <c r="H24" s="150">
        <v>200834</v>
      </c>
      <c r="J24" s="160">
        <f t="shared" si="1"/>
        <v>2.2987311783002264E-2</v>
      </c>
      <c r="K24" s="160">
        <f t="shared" si="1"/>
        <v>3.3059018770232165E-2</v>
      </c>
      <c r="L24" s="160">
        <f t="shared" si="1"/>
        <v>4.2986912499333889E-2</v>
      </c>
      <c r="M24" s="160">
        <f t="shared" si="1"/>
        <v>5.2808610295162497E-2</v>
      </c>
      <c r="N24" s="160">
        <f t="shared" si="1"/>
        <v>6.2545642873728727E-2</v>
      </c>
      <c r="O24" s="160">
        <f t="shared" si="1"/>
        <v>7.2158497485940429E-2</v>
      </c>
      <c r="P24" s="160">
        <f t="shared" si="1"/>
        <v>8.1656765052065178E-2</v>
      </c>
    </row>
    <row r="25" spans="1:16">
      <c r="A25" s="150">
        <v>34</v>
      </c>
      <c r="B25" s="150">
        <v>61909</v>
      </c>
      <c r="C25" s="150">
        <v>75394</v>
      </c>
      <c r="D25" s="150">
        <v>92374</v>
      </c>
      <c r="E25" s="150">
        <v>113904</v>
      </c>
      <c r="F25" s="150">
        <v>141201</v>
      </c>
      <c r="G25" s="150">
        <v>175792</v>
      </c>
      <c r="H25" s="150">
        <v>219787</v>
      </c>
      <c r="J25" s="160">
        <f t="shared" si="1"/>
        <v>2.3105240880184248E-2</v>
      </c>
      <c r="K25" s="160">
        <f t="shared" si="1"/>
        <v>3.317062093853225E-2</v>
      </c>
      <c r="L25" s="160">
        <f t="shared" si="1"/>
        <v>4.3097726267305243E-2</v>
      </c>
      <c r="M25" s="160">
        <f t="shared" si="1"/>
        <v>5.2935966361104425E-2</v>
      </c>
      <c r="N25" s="160">
        <f t="shared" si="1"/>
        <v>6.266610089498266E-2</v>
      </c>
      <c r="O25" s="160">
        <f t="shared" si="1"/>
        <v>7.2273767929105726E-2</v>
      </c>
      <c r="P25" s="160">
        <f t="shared" si="1"/>
        <v>8.1786942225566539E-2</v>
      </c>
    </row>
    <row r="26" spans="1:16">
      <c r="A26" s="150">
        <v>35</v>
      </c>
      <c r="B26" s="150">
        <v>64703</v>
      </c>
      <c r="C26" s="150">
        <v>79326</v>
      </c>
      <c r="D26" s="150">
        <v>97871</v>
      </c>
      <c r="E26" s="150">
        <v>121633</v>
      </c>
      <c r="F26" s="150">
        <v>151939</v>
      </c>
      <c r="G26" s="150">
        <v>190666</v>
      </c>
      <c r="H26" s="150">
        <v>240421</v>
      </c>
      <c r="J26" s="160">
        <f t="shared" si="1"/>
        <v>2.3211384424200836E-2</v>
      </c>
      <c r="K26" s="160">
        <f t="shared" si="1"/>
        <v>3.3276842231943195E-2</v>
      </c>
      <c r="L26" s="160">
        <f t="shared" si="1"/>
        <v>4.3198176265778473E-2</v>
      </c>
      <c r="M26" s="160">
        <f t="shared" si="1"/>
        <v>5.305369577763077E-2</v>
      </c>
      <c r="N26" s="160">
        <f t="shared" si="1"/>
        <v>6.2778215530321785E-2</v>
      </c>
      <c r="O26" s="160">
        <f t="shared" si="1"/>
        <v>7.238294736487029E-2</v>
      </c>
      <c r="P26" s="160">
        <f t="shared" si="1"/>
        <v>8.1909015010957181E-2</v>
      </c>
    </row>
    <row r="27" spans="1:16">
      <c r="A27" s="150">
        <v>36</v>
      </c>
      <c r="B27" s="150">
        <v>67578</v>
      </c>
      <c r="C27" s="150">
        <v>83406</v>
      </c>
      <c r="D27" s="150">
        <v>103665</v>
      </c>
      <c r="E27" s="150">
        <v>129813</v>
      </c>
      <c r="F27" s="150">
        <v>163416</v>
      </c>
      <c r="G27" s="150">
        <v>206719</v>
      </c>
      <c r="H27" s="150">
        <v>262889</v>
      </c>
      <c r="J27" s="160">
        <f t="shared" si="1"/>
        <v>2.3316113019025447E-2</v>
      </c>
      <c r="K27" s="160">
        <f t="shared" si="1"/>
        <v>3.3378408888608907E-2</v>
      </c>
      <c r="L27" s="160">
        <f t="shared" si="1"/>
        <v>4.3309338452018016E-2</v>
      </c>
      <c r="M27" s="160">
        <f t="shared" si="1"/>
        <v>5.3165805981816472E-2</v>
      </c>
      <c r="N27" s="160">
        <f t="shared" si="1"/>
        <v>6.2886096716895171E-2</v>
      </c>
      <c r="O27" s="160">
        <f t="shared" si="1"/>
        <v>7.2489029042751077E-2</v>
      </c>
      <c r="P27" s="160">
        <f t="shared" si="1"/>
        <v>8.2024252575908729E-2</v>
      </c>
    </row>
    <row r="28" spans="1:16">
      <c r="A28" s="150">
        <v>37</v>
      </c>
      <c r="B28" s="150">
        <v>70526</v>
      </c>
      <c r="C28" s="150">
        <v>87633</v>
      </c>
      <c r="D28" s="150">
        <v>109755</v>
      </c>
      <c r="E28" s="150">
        <v>138470</v>
      </c>
      <c r="F28" s="150">
        <v>175675</v>
      </c>
      <c r="G28" s="150">
        <v>224108</v>
      </c>
      <c r="H28" s="150">
        <v>287334</v>
      </c>
      <c r="J28" s="160">
        <f t="shared" si="1"/>
        <v>2.341220021806132E-2</v>
      </c>
      <c r="K28" s="160">
        <f t="shared" si="1"/>
        <v>3.34721869745132E-2</v>
      </c>
      <c r="L28" s="160">
        <f t="shared" si="1"/>
        <v>4.3422232610188335E-2</v>
      </c>
      <c r="M28" s="160">
        <f t="shared" si="1"/>
        <v>5.3272539222165349E-2</v>
      </c>
      <c r="N28" s="160">
        <f t="shared" si="1"/>
        <v>6.2988059405504532E-2</v>
      </c>
      <c r="O28" s="160">
        <f t="shared" si="1"/>
        <v>7.2602942828576711E-2</v>
      </c>
      <c r="P28" s="160">
        <f t="shared" si="1"/>
        <v>8.2130524625981041E-2</v>
      </c>
    </row>
    <row r="29" spans="1:16">
      <c r="A29" s="150">
        <v>38</v>
      </c>
      <c r="B29" s="150">
        <v>73556</v>
      </c>
      <c r="C29" s="150">
        <v>92019</v>
      </c>
      <c r="D29" s="150">
        <v>116137</v>
      </c>
      <c r="E29" s="150">
        <v>147628</v>
      </c>
      <c r="F29" s="150">
        <v>188757</v>
      </c>
      <c r="G29" s="150">
        <v>242871</v>
      </c>
      <c r="H29" s="150">
        <v>314009</v>
      </c>
      <c r="J29" s="160">
        <f t="shared" si="1"/>
        <v>2.3505041345745426E-2</v>
      </c>
      <c r="K29" s="160">
        <f t="shared" si="1"/>
        <v>3.3562164687382698E-2</v>
      </c>
      <c r="L29" s="160">
        <f t="shared" si="1"/>
        <v>4.3529143177579756E-2</v>
      </c>
      <c r="M29" s="160">
        <f t="shared" si="1"/>
        <v>5.3373187274851575E-2</v>
      </c>
      <c r="N29" s="160">
        <f t="shared" si="1"/>
        <v>6.3082017382152383E-2</v>
      </c>
      <c r="O29" s="160">
        <f t="shared" si="1"/>
        <v>7.271135340305146E-2</v>
      </c>
      <c r="P29" s="160">
        <f t="shared" si="1"/>
        <v>8.2237993125539768E-2</v>
      </c>
    </row>
    <row r="30" spans="1:16">
      <c r="A30" s="150">
        <v>39</v>
      </c>
      <c r="B30" s="150">
        <v>76666</v>
      </c>
      <c r="C30" s="150">
        <v>96566</v>
      </c>
      <c r="D30" s="150">
        <v>122823</v>
      </c>
      <c r="E30" s="150">
        <v>157321</v>
      </c>
      <c r="F30" s="150">
        <v>202740</v>
      </c>
      <c r="G30" s="150">
        <v>263084</v>
      </c>
      <c r="H30" s="150">
        <v>343155</v>
      </c>
      <c r="J30" s="160">
        <f t="shared" si="1"/>
        <v>2.3592239373024942E-2</v>
      </c>
      <c r="K30" s="160">
        <f t="shared" si="1"/>
        <v>3.3646777045490024E-2</v>
      </c>
      <c r="L30" s="160">
        <f t="shared" si="1"/>
        <v>4.3629850035493301E-2</v>
      </c>
      <c r="M30" s="160">
        <f t="shared" si="1"/>
        <v>5.3469472310500074E-2</v>
      </c>
      <c r="N30" s="160">
        <f t="shared" si="1"/>
        <v>6.3173025467495175E-2</v>
      </c>
      <c r="O30" s="160">
        <f t="shared" si="1"/>
        <v>7.2810081952882202E-2</v>
      </c>
      <c r="P30" s="160">
        <f t="shared" si="1"/>
        <v>8.2349683214286318E-2</v>
      </c>
    </row>
    <row r="31" spans="1:16">
      <c r="A31" s="150">
        <v>40</v>
      </c>
      <c r="B31" s="150">
        <v>79856</v>
      </c>
      <c r="C31" s="150">
        <v>101298</v>
      </c>
      <c r="D31" s="150">
        <v>129819</v>
      </c>
      <c r="E31" s="150">
        <v>167552</v>
      </c>
      <c r="F31" s="150">
        <v>217778</v>
      </c>
      <c r="G31" s="150">
        <v>284921</v>
      </c>
      <c r="H31" s="150">
        <v>374918</v>
      </c>
      <c r="J31" s="160">
        <f t="shared" si="1"/>
        <v>2.3673129723464741E-2</v>
      </c>
      <c r="K31" s="160">
        <f t="shared" si="1"/>
        <v>3.3733839610616149E-2</v>
      </c>
      <c r="L31" s="160">
        <f t="shared" si="1"/>
        <v>4.3722287390338191E-2</v>
      </c>
      <c r="M31" s="160">
        <f t="shared" si="1"/>
        <v>5.3555255434993433E-2</v>
      </c>
      <c r="N31" s="160">
        <f t="shared" si="1"/>
        <v>6.3276483191319149E-2</v>
      </c>
      <c r="O31" s="160">
        <f t="shared" si="1"/>
        <v>7.2907901658554208E-2</v>
      </c>
      <c r="P31" s="160">
        <f t="shared" si="1"/>
        <v>8.2456640068968856E-2</v>
      </c>
    </row>
    <row r="32" spans="1:16">
      <c r="A32" s="150">
        <v>41</v>
      </c>
      <c r="B32" s="150">
        <v>83331</v>
      </c>
      <c r="C32" s="150">
        <v>106493</v>
      </c>
      <c r="D32" s="150">
        <v>137484</v>
      </c>
      <c r="E32" s="150">
        <v>178815</v>
      </c>
      <c r="F32" s="150">
        <v>234389</v>
      </c>
      <c r="G32" s="150">
        <v>309241</v>
      </c>
      <c r="H32" s="150">
        <v>410475</v>
      </c>
      <c r="J32" s="160">
        <f t="shared" si="1"/>
        <v>2.3851241745759449E-2</v>
      </c>
      <c r="K32" s="160">
        <f t="shared" si="1"/>
        <v>3.3924452043700329E-2</v>
      </c>
      <c r="L32" s="160">
        <f t="shared" si="1"/>
        <v>4.3903148637509042E-2</v>
      </c>
      <c r="M32" s="160">
        <f t="shared" si="1"/>
        <v>5.3727000410968409E-2</v>
      </c>
      <c r="N32" s="160">
        <f t="shared" si="1"/>
        <v>6.3456083272156821E-2</v>
      </c>
      <c r="O32" s="160">
        <f t="shared" si="1"/>
        <v>7.3085143165612557E-2</v>
      </c>
      <c r="P32" s="160">
        <f t="shared" si="1"/>
        <v>8.2635517286251597E-2</v>
      </c>
    </row>
    <row r="33" spans="1:16">
      <c r="A33" s="150">
        <v>42</v>
      </c>
      <c r="B33" s="150">
        <v>86930</v>
      </c>
      <c r="C33" s="150">
        <v>111926</v>
      </c>
      <c r="D33" s="150">
        <v>145569</v>
      </c>
      <c r="E33" s="150">
        <v>190805</v>
      </c>
      <c r="F33" s="150">
        <v>252249</v>
      </c>
      <c r="G33" s="150">
        <v>335731</v>
      </c>
      <c r="H33" s="150">
        <v>449399</v>
      </c>
      <c r="J33" s="160">
        <f t="shared" si="1"/>
        <v>2.4029306617442237E-2</v>
      </c>
      <c r="K33" s="160">
        <f t="shared" si="1"/>
        <v>3.4114161678252625E-2</v>
      </c>
      <c r="L33" s="160">
        <f t="shared" si="1"/>
        <v>4.4082254207980356E-2</v>
      </c>
      <c r="M33" s="160">
        <f t="shared" si="1"/>
        <v>5.3897462695915783E-2</v>
      </c>
      <c r="N33" s="160">
        <f t="shared" si="1"/>
        <v>6.3634639986365843E-2</v>
      </c>
      <c r="O33" s="160">
        <f t="shared" si="1"/>
        <v>7.3271091860088761E-2</v>
      </c>
      <c r="P33" s="160">
        <f t="shared" si="1"/>
        <v>8.2811504209844275E-2</v>
      </c>
    </row>
    <row r="34" spans="1:16">
      <c r="A34" s="150">
        <v>43</v>
      </c>
      <c r="B34" s="150">
        <v>90639</v>
      </c>
      <c r="C34" s="150">
        <v>117581</v>
      </c>
      <c r="D34" s="150">
        <v>154068</v>
      </c>
      <c r="E34" s="150">
        <v>203554</v>
      </c>
      <c r="F34" s="150">
        <v>271391</v>
      </c>
      <c r="G34" s="150">
        <v>364400</v>
      </c>
      <c r="H34" s="150">
        <v>491916</v>
      </c>
      <c r="J34" s="160">
        <f t="shared" si="1"/>
        <v>2.4198609892590033E-2</v>
      </c>
      <c r="K34" s="160">
        <f t="shared" si="1"/>
        <v>3.4293749571928399E-2</v>
      </c>
      <c r="L34" s="160">
        <f t="shared" si="1"/>
        <v>4.4252362358962689E-2</v>
      </c>
      <c r="M34" s="160">
        <f t="shared" si="1"/>
        <v>5.4063568648787058E-2</v>
      </c>
      <c r="N34" s="160">
        <f t="shared" si="1"/>
        <v>6.3804021110721768E-2</v>
      </c>
      <c r="O34" s="160">
        <f t="shared" si="1"/>
        <v>7.3447145961057281E-2</v>
      </c>
      <c r="P34" s="160">
        <f t="shared" si="1"/>
        <v>8.2978229504680479E-2</v>
      </c>
    </row>
    <row r="35" spans="1:16">
      <c r="A35" s="150">
        <v>44</v>
      </c>
      <c r="B35" s="150">
        <v>94460</v>
      </c>
      <c r="C35" s="150">
        <v>123463</v>
      </c>
      <c r="D35" s="150">
        <v>162999</v>
      </c>
      <c r="E35" s="150">
        <v>217162</v>
      </c>
      <c r="F35" s="150">
        <v>291899</v>
      </c>
      <c r="G35" s="150">
        <v>395418</v>
      </c>
      <c r="H35" s="150">
        <v>538342</v>
      </c>
      <c r="J35" s="160">
        <f t="shared" si="1"/>
        <v>2.4359205996215612E-2</v>
      </c>
      <c r="K35" s="160">
        <f t="shared" si="1"/>
        <v>3.4462764684707381E-2</v>
      </c>
      <c r="L35" s="160">
        <f t="shared" si="1"/>
        <v>4.4413415004368274E-2</v>
      </c>
      <c r="M35" s="160">
        <f t="shared" si="1"/>
        <v>5.4233286851777487E-2</v>
      </c>
      <c r="N35" s="160">
        <f t="shared" si="1"/>
        <v>6.3963984709389243E-2</v>
      </c>
      <c r="O35" s="160">
        <f t="shared" si="1"/>
        <v>7.3613299160843595E-2</v>
      </c>
      <c r="P35" s="160">
        <f t="shared" si="1"/>
        <v>8.3135474780946489E-2</v>
      </c>
    </row>
    <row r="36" spans="1:16">
      <c r="A36" s="150">
        <v>45</v>
      </c>
      <c r="B36" s="150">
        <v>98398</v>
      </c>
      <c r="C36" s="150">
        <v>129591</v>
      </c>
      <c r="D36" s="150">
        <v>172386</v>
      </c>
      <c r="E36" s="150">
        <v>231608</v>
      </c>
      <c r="F36" s="150">
        <v>313967</v>
      </c>
      <c r="G36" s="150">
        <v>428986</v>
      </c>
      <c r="H36" s="150">
        <v>589051</v>
      </c>
      <c r="J36" s="160">
        <f t="shared" si="1"/>
        <v>2.4512352665532974E-2</v>
      </c>
      <c r="K36" s="160">
        <f t="shared" si="1"/>
        <v>3.4624794253261336E-2</v>
      </c>
      <c r="L36" s="160">
        <f t="shared" si="1"/>
        <v>4.4566488514990607E-2</v>
      </c>
      <c r="M36" s="160">
        <f t="shared" si="1"/>
        <v>5.4394327234679324E-2</v>
      </c>
      <c r="N36" s="160">
        <f t="shared" si="1"/>
        <v>6.4124918790178453E-2</v>
      </c>
      <c r="O36" s="160">
        <f t="shared" si="1"/>
        <v>7.3770935159289203E-2</v>
      </c>
      <c r="P36" s="160">
        <f t="shared" si="1"/>
        <v>8.3284732660298136E-2</v>
      </c>
    </row>
    <row r="37" spans="1:16">
      <c r="A37" s="150">
        <v>46</v>
      </c>
      <c r="B37" s="150">
        <v>102486</v>
      </c>
      <c r="C37" s="150">
        <v>135971</v>
      </c>
      <c r="D37" s="150">
        <v>182254</v>
      </c>
      <c r="E37" s="150">
        <v>246946</v>
      </c>
      <c r="F37" s="150">
        <v>337696</v>
      </c>
      <c r="G37" s="150">
        <v>465316</v>
      </c>
      <c r="H37" s="150">
        <v>644440</v>
      </c>
      <c r="J37" s="160">
        <f>RATE($A37*12,-100,0,B37)*12</f>
        <v>2.4669112638459865E-2</v>
      </c>
      <c r="K37" s="160">
        <f t="shared" si="1"/>
        <v>3.4779130964591287E-2</v>
      </c>
      <c r="L37" s="160">
        <f t="shared" si="1"/>
        <v>4.4712445772226689E-2</v>
      </c>
      <c r="M37" s="160">
        <f t="shared" si="1"/>
        <v>5.4547613196297209E-2</v>
      </c>
      <c r="N37" s="160">
        <f t="shared" si="1"/>
        <v>6.4284405916649426E-2</v>
      </c>
      <c r="O37" s="160">
        <f t="shared" si="1"/>
        <v>7.3920807085000678E-2</v>
      </c>
      <c r="P37" s="160">
        <f t="shared" si="1"/>
        <v>8.3426645152254855E-2</v>
      </c>
    </row>
    <row r="38" spans="1:16">
      <c r="A38" s="150">
        <v>47</v>
      </c>
      <c r="B38" s="150">
        <v>106721</v>
      </c>
      <c r="C38" s="150">
        <v>142611</v>
      </c>
      <c r="D38" s="150">
        <v>192623</v>
      </c>
      <c r="E38" s="150">
        <v>263225</v>
      </c>
      <c r="F38" s="150">
        <v>363132</v>
      </c>
      <c r="G38" s="150">
        <v>504625</v>
      </c>
      <c r="H38" s="150">
        <v>704926</v>
      </c>
      <c r="J38" s="160">
        <f t="shared" si="1"/>
        <v>2.4825660198664626E-2</v>
      </c>
      <c r="K38" s="160">
        <f t="shared" si="1"/>
        <v>3.4925726725791792E-2</v>
      </c>
      <c r="L38" s="160">
        <f t="shared" si="1"/>
        <v>4.4850967167953268E-2</v>
      </c>
      <c r="M38" s="160">
        <f t="shared" si="1"/>
        <v>5.4692946744484647E-2</v>
      </c>
      <c r="N38" s="160">
        <f t="shared" si="1"/>
        <v>6.4435532153522157E-2</v>
      </c>
      <c r="O38" s="160">
        <f t="shared" si="1"/>
        <v>7.4062854141980827E-2</v>
      </c>
      <c r="P38" s="160">
        <f t="shared" si="1"/>
        <v>8.3561114028917305E-2</v>
      </c>
    </row>
    <row r="39" spans="1:16">
      <c r="A39" s="150">
        <v>48</v>
      </c>
      <c r="B39" s="150">
        <v>111089</v>
      </c>
      <c r="C39" s="150">
        <v>149525</v>
      </c>
      <c r="D39" s="150">
        <v>203549</v>
      </c>
      <c r="E39" s="150">
        <v>280511</v>
      </c>
      <c r="F39" s="150">
        <v>390408</v>
      </c>
      <c r="G39" s="150">
        <v>547170</v>
      </c>
      <c r="H39" s="150">
        <v>770997</v>
      </c>
      <c r="J39" s="160">
        <f t="shared" si="1"/>
        <v>2.4975502773058059E-2</v>
      </c>
      <c r="K39" s="160">
        <f t="shared" si="1"/>
        <v>3.506587819969182E-2</v>
      </c>
      <c r="L39" s="160">
        <f t="shared" si="1"/>
        <v>4.49872953274007E-2</v>
      </c>
      <c r="M39" s="160">
        <f t="shared" si="1"/>
        <v>5.4831789047004864E-2</v>
      </c>
      <c r="N39" s="160">
        <f t="shared" si="1"/>
        <v>6.4579666723048865E-2</v>
      </c>
      <c r="O39" s="160">
        <f t="shared" si="1"/>
        <v>7.4198301767096797E-2</v>
      </c>
      <c r="P39" s="160">
        <f t="shared" si="1"/>
        <v>8.3689362299384326E-2</v>
      </c>
    </row>
    <row r="40" spans="1:16">
      <c r="A40" s="150">
        <v>49</v>
      </c>
      <c r="B40" s="150">
        <v>115592</v>
      </c>
      <c r="C40" s="150">
        <v>156723</v>
      </c>
      <c r="D40" s="150">
        <v>215113</v>
      </c>
      <c r="E40" s="150">
        <v>298858</v>
      </c>
      <c r="F40" s="150">
        <v>419649</v>
      </c>
      <c r="G40" s="150">
        <v>593206</v>
      </c>
      <c r="H40" s="150">
        <v>843151</v>
      </c>
      <c r="J40" s="160">
        <f t="shared" si="1"/>
        <v>2.511840407039426E-2</v>
      </c>
      <c r="K40" s="160">
        <f t="shared" si="1"/>
        <v>3.5199712908204027E-2</v>
      </c>
      <c r="L40" s="160">
        <f t="shared" si="1"/>
        <v>4.5128534624887778E-2</v>
      </c>
      <c r="M40" s="160">
        <f t="shared" si="1"/>
        <v>5.4963722703397319E-2</v>
      </c>
      <c r="N40" s="160">
        <f t="shared" ref="N40:P51" si="2">RATE($A40*12,-100,0,F40)*12</f>
        <v>6.4716706987587358E-2</v>
      </c>
      <c r="O40" s="160">
        <f t="shared" si="2"/>
        <v>7.4327042806030252E-2</v>
      </c>
      <c r="P40" s="160">
        <f t="shared" si="2"/>
        <v>8.3811221818453269E-2</v>
      </c>
    </row>
    <row r="41" spans="1:16">
      <c r="A41" s="150">
        <v>50</v>
      </c>
      <c r="B41" s="150">
        <v>120233</v>
      </c>
      <c r="C41" s="150">
        <v>164214</v>
      </c>
      <c r="D41" s="150">
        <v>227272</v>
      </c>
      <c r="E41" s="150">
        <v>318480</v>
      </c>
      <c r="F41" s="150">
        <v>450995</v>
      </c>
      <c r="G41" s="150">
        <v>643020</v>
      </c>
      <c r="H41" s="150">
        <v>921949</v>
      </c>
      <c r="J41" s="160">
        <f t="shared" ref="J41:M51" si="3">RATE($A41*12,-100,0,B41)*12</f>
        <v>2.5254495268596026E-2</v>
      </c>
      <c r="K41" s="160">
        <f t="shared" si="3"/>
        <v>3.5327120882561618E-2</v>
      </c>
      <c r="L41" s="160">
        <f t="shared" si="3"/>
        <v>4.5263099899505117E-2</v>
      </c>
      <c r="M41" s="160">
        <f t="shared" si="3"/>
        <v>5.5102576722439497E-2</v>
      </c>
      <c r="N41" s="160">
        <f t="shared" si="2"/>
        <v>6.4847045200890352E-2</v>
      </c>
      <c r="O41" s="160">
        <f t="shared" si="2"/>
        <v>7.4449565772153628E-2</v>
      </c>
      <c r="P41" s="160">
        <f t="shared" si="2"/>
        <v>8.3927169159203868E-2</v>
      </c>
    </row>
    <row r="42" spans="1:16">
      <c r="A42" s="150">
        <v>51</v>
      </c>
      <c r="B42" s="150">
        <v>125019</v>
      </c>
      <c r="C42" s="150">
        <v>172014</v>
      </c>
      <c r="D42" s="150">
        <v>240060</v>
      </c>
      <c r="E42" s="150">
        <v>339337</v>
      </c>
      <c r="F42" s="150">
        <v>484609</v>
      </c>
      <c r="G42" s="150">
        <v>696934</v>
      </c>
      <c r="H42" s="150">
        <v>1008025</v>
      </c>
      <c r="J42" s="160">
        <f t="shared" si="3"/>
        <v>2.5384955282519307E-2</v>
      </c>
      <c r="K42" s="160">
        <f t="shared" si="3"/>
        <v>3.5449260125470047E-2</v>
      </c>
      <c r="L42" s="160">
        <f t="shared" si="3"/>
        <v>4.5391841757820961E-2</v>
      </c>
      <c r="M42" s="160">
        <f t="shared" si="3"/>
        <v>5.5236451642853901E-2</v>
      </c>
      <c r="N42" s="160">
        <f t="shared" si="2"/>
        <v>6.4971775099028461E-2</v>
      </c>
      <c r="O42" s="160">
        <f t="shared" si="2"/>
        <v>7.4566738142270023E-2</v>
      </c>
      <c r="P42" s="160">
        <f t="shared" si="2"/>
        <v>8.4038168104944175E-2</v>
      </c>
    </row>
    <row r="43" spans="1:16">
      <c r="A43" s="150">
        <v>52</v>
      </c>
      <c r="B43" s="150">
        <v>129952</v>
      </c>
      <c r="C43" s="150">
        <v>180132</v>
      </c>
      <c r="D43" s="150">
        <v>253506</v>
      </c>
      <c r="E43" s="150">
        <v>361486</v>
      </c>
      <c r="F43" s="150">
        <v>520642</v>
      </c>
      <c r="G43" s="150">
        <v>755271</v>
      </c>
      <c r="H43" s="150">
        <v>1102023</v>
      </c>
      <c r="J43" s="160">
        <f t="shared" si="3"/>
        <v>2.5509495472766583E-2</v>
      </c>
      <c r="K43" s="160">
        <f t="shared" si="3"/>
        <v>3.5565812214730909E-2</v>
      </c>
      <c r="L43" s="160">
        <f t="shared" si="3"/>
        <v>4.5514712796908129E-2</v>
      </c>
      <c r="M43" s="160">
        <f t="shared" si="3"/>
        <v>5.5364004357761426E-2</v>
      </c>
      <c r="N43" s="160">
        <f t="shared" si="2"/>
        <v>6.5090565615245011E-2</v>
      </c>
      <c r="O43" s="160">
        <f t="shared" si="2"/>
        <v>7.4678392246318406E-2</v>
      </c>
      <c r="P43" s="160">
        <f t="shared" si="2"/>
        <v>8.4143868062497906E-2</v>
      </c>
    </row>
    <row r="44" spans="1:16">
      <c r="A44" s="150">
        <v>53</v>
      </c>
      <c r="B44" s="150">
        <v>135039</v>
      </c>
      <c r="C44" s="150">
        <v>188585</v>
      </c>
      <c r="D44" s="150">
        <v>267646</v>
      </c>
      <c r="E44" s="150">
        <v>385014</v>
      </c>
      <c r="F44" s="150">
        <v>559279</v>
      </c>
      <c r="G44" s="150">
        <v>818408</v>
      </c>
      <c r="H44" s="150">
        <v>1204697</v>
      </c>
      <c r="J44" s="160">
        <f t="shared" si="3"/>
        <v>2.5629066716365646E-2</v>
      </c>
      <c r="K44" s="160">
        <f t="shared" si="3"/>
        <v>3.567776066343295E-2</v>
      </c>
      <c r="L44" s="160">
        <f t="shared" si="3"/>
        <v>4.5632308816869305E-2</v>
      </c>
      <c r="M44" s="160">
        <f t="shared" si="3"/>
        <v>5.5486132383095473E-2</v>
      </c>
      <c r="N44" s="160">
        <f t="shared" si="2"/>
        <v>6.5204313374771394E-2</v>
      </c>
      <c r="O44" s="160">
        <f t="shared" si="2"/>
        <v>7.4785323438736437E-2</v>
      </c>
      <c r="P44" s="160">
        <f t="shared" si="2"/>
        <v>8.4245129794567983E-2</v>
      </c>
    </row>
    <row r="45" spans="1:16">
      <c r="A45" s="150">
        <v>54</v>
      </c>
      <c r="B45" s="150">
        <v>140283</v>
      </c>
      <c r="C45" s="150">
        <v>197383</v>
      </c>
      <c r="D45" s="150">
        <v>282513</v>
      </c>
      <c r="E45" s="150">
        <v>409999</v>
      </c>
      <c r="F45" s="150">
        <v>600698</v>
      </c>
      <c r="G45" s="150">
        <v>886724</v>
      </c>
      <c r="H45" s="150">
        <v>1316821</v>
      </c>
      <c r="J45" s="160">
        <f t="shared" si="3"/>
        <v>2.5743558351849306E-2</v>
      </c>
      <c r="K45" s="160">
        <f t="shared" si="3"/>
        <v>3.57848048747317E-2</v>
      </c>
      <c r="L45" s="160">
        <f t="shared" si="3"/>
        <v>4.5744674432721677E-2</v>
      </c>
      <c r="M45" s="160">
        <f t="shared" si="3"/>
        <v>5.5602657165063074E-2</v>
      </c>
      <c r="N45" s="160">
        <f t="shared" si="2"/>
        <v>6.5312888607809538E-2</v>
      </c>
      <c r="O45" s="160">
        <f t="shared" si="2"/>
        <v>7.4887369122153227E-2</v>
      </c>
      <c r="P45" s="160">
        <f t="shared" si="2"/>
        <v>8.4341726292849667E-2</v>
      </c>
    </row>
    <row r="46" spans="1:16">
      <c r="A46" s="150">
        <v>55</v>
      </c>
      <c r="B46" s="150">
        <v>145688</v>
      </c>
      <c r="C46" s="150">
        <v>206608</v>
      </c>
      <c r="D46" s="150">
        <v>298145</v>
      </c>
      <c r="E46" s="150">
        <v>436533</v>
      </c>
      <c r="F46" s="150">
        <v>645098</v>
      </c>
      <c r="G46" s="150">
        <v>960642</v>
      </c>
      <c r="H46" s="150">
        <v>1439265</v>
      </c>
      <c r="J46" s="160">
        <f t="shared" si="3"/>
        <v>2.585310361083195E-2</v>
      </c>
      <c r="K46" s="160">
        <f t="shared" si="3"/>
        <v>3.5896417584514895E-2</v>
      </c>
      <c r="L46" s="160">
        <f t="shared" si="3"/>
        <v>4.5852189933966975E-2</v>
      </c>
      <c r="M46" s="160">
        <f t="shared" si="3"/>
        <v>5.5714041838417105E-2</v>
      </c>
      <c r="N46" s="160">
        <f t="shared" si="2"/>
        <v>6.5416572522478705E-2</v>
      </c>
      <c r="O46" s="160">
        <f t="shared" si="2"/>
        <v>7.4984800988173506E-2</v>
      </c>
      <c r="P46" s="160">
        <f t="shared" si="2"/>
        <v>8.4433969873221368E-2</v>
      </c>
    </row>
    <row r="47" spans="1:16">
      <c r="A47" s="150">
        <v>56</v>
      </c>
      <c r="B47" s="150">
        <v>151262</v>
      </c>
      <c r="C47" s="150">
        <v>216254</v>
      </c>
      <c r="D47" s="150">
        <v>314717</v>
      </c>
      <c r="E47" s="150">
        <v>464721</v>
      </c>
      <c r="F47" s="150">
        <v>692711</v>
      </c>
      <c r="G47" s="150">
        <v>1040651</v>
      </c>
      <c r="H47" s="150">
        <v>1573025</v>
      </c>
      <c r="J47" s="160">
        <f t="shared" si="3"/>
        <v>2.5958591039830992E-2</v>
      </c>
      <c r="K47" s="160">
        <f t="shared" si="3"/>
        <v>3.6008466513443797E-2</v>
      </c>
      <c r="L47" s="160">
        <f t="shared" si="3"/>
        <v>4.5966298686456603E-2</v>
      </c>
      <c r="M47" s="160">
        <f t="shared" si="3"/>
        <v>5.5821081267291871E-2</v>
      </c>
      <c r="N47" s="160">
        <f t="shared" si="2"/>
        <v>6.5516277196183054E-2</v>
      </c>
      <c r="O47" s="160">
        <f t="shared" si="2"/>
        <v>7.5078575290513469E-2</v>
      </c>
      <c r="P47" s="160">
        <f t="shared" si="2"/>
        <v>8.4522804904256996E-2</v>
      </c>
    </row>
    <row r="48" spans="1:16">
      <c r="A48" s="150">
        <v>57</v>
      </c>
      <c r="B48" s="150">
        <v>157008</v>
      </c>
      <c r="C48" s="150">
        <v>226300</v>
      </c>
      <c r="D48" s="150">
        <v>332179</v>
      </c>
      <c r="E48" s="150">
        <v>494660</v>
      </c>
      <c r="F48" s="150">
        <v>743760</v>
      </c>
      <c r="G48" s="150">
        <v>1127234</v>
      </c>
      <c r="H48" s="150">
        <v>1719116</v>
      </c>
      <c r="J48" s="160">
        <f t="shared" si="3"/>
        <v>2.6059818789996046E-2</v>
      </c>
      <c r="K48" s="160">
        <f t="shared" si="3"/>
        <v>3.6115900414815903E-2</v>
      </c>
      <c r="L48" s="160">
        <f t="shared" si="3"/>
        <v>4.6077858207509655E-2</v>
      </c>
      <c r="M48" s="160">
        <f t="shared" si="3"/>
        <v>5.592370748102872E-2</v>
      </c>
      <c r="N48" s="160">
        <f t="shared" si="2"/>
        <v>6.5611908507968442E-2</v>
      </c>
      <c r="O48" s="160">
        <f t="shared" si="2"/>
        <v>7.5168491066861964E-2</v>
      </c>
      <c r="P48" s="160">
        <f t="shared" si="2"/>
        <v>8.460799565549515E-2</v>
      </c>
    </row>
    <row r="49" spans="1:16">
      <c r="A49" s="150">
        <v>58</v>
      </c>
      <c r="B49" s="150">
        <v>162931</v>
      </c>
      <c r="C49" s="150">
        <v>236762</v>
      </c>
      <c r="D49" s="150">
        <v>350548</v>
      </c>
      <c r="E49" s="150">
        <v>526455</v>
      </c>
      <c r="F49" s="150">
        <v>798488</v>
      </c>
      <c r="G49" s="150">
        <v>1220925</v>
      </c>
      <c r="H49" s="150">
        <v>1878667</v>
      </c>
      <c r="J49" s="160">
        <f t="shared" si="3"/>
        <v>2.6156977653920548E-2</v>
      </c>
      <c r="K49" s="160">
        <f t="shared" si="3"/>
        <v>3.6218920990283801E-2</v>
      </c>
      <c r="L49" s="160">
        <f t="shared" si="3"/>
        <v>4.6184704375313052E-2</v>
      </c>
      <c r="M49" s="160">
        <f t="shared" si="3"/>
        <v>5.6022004388418992E-2</v>
      </c>
      <c r="N49" s="160">
        <f t="shared" si="2"/>
        <v>6.5703556090037099E-2</v>
      </c>
      <c r="O49" s="160">
        <f t="shared" si="2"/>
        <v>7.5254658839461835E-2</v>
      </c>
      <c r="P49" s="160">
        <f t="shared" si="2"/>
        <v>8.468966310416462E-2</v>
      </c>
    </row>
    <row r="50" spans="1:16">
      <c r="A50" s="150">
        <v>59</v>
      </c>
      <c r="B50" s="150">
        <v>169037</v>
      </c>
      <c r="C50" s="150">
        <v>247657</v>
      </c>
      <c r="D50" s="150">
        <v>369871</v>
      </c>
      <c r="E50" s="150">
        <v>560223</v>
      </c>
      <c r="F50" s="150">
        <v>857156</v>
      </c>
      <c r="G50" s="150">
        <v>1322304</v>
      </c>
      <c r="H50" s="150">
        <v>2052911</v>
      </c>
      <c r="J50" s="160">
        <f t="shared" si="3"/>
        <v>2.625038705059736E-2</v>
      </c>
      <c r="K50" s="160">
        <f t="shared" si="3"/>
        <v>3.6317759027117716E-2</v>
      </c>
      <c r="L50" s="160">
        <f t="shared" si="3"/>
        <v>4.6287108750540457E-2</v>
      </c>
      <c r="M50" s="160">
        <f t="shared" si="3"/>
        <v>5.611630875581694E-2</v>
      </c>
      <c r="N50" s="160">
        <f t="shared" si="2"/>
        <v>6.5791345710948745E-2</v>
      </c>
      <c r="O50" s="160">
        <f t="shared" si="2"/>
        <v>7.5337242423094947E-2</v>
      </c>
      <c r="P50" s="160">
        <f t="shared" si="2"/>
        <v>8.4767941801915186E-2</v>
      </c>
    </row>
    <row r="51" spans="1:16" ht="13.5" thickBot="1">
      <c r="A51" s="150">
        <v>60</v>
      </c>
      <c r="B51" s="150">
        <v>175331</v>
      </c>
      <c r="C51" s="150">
        <v>259002</v>
      </c>
      <c r="D51" s="150">
        <v>390198</v>
      </c>
      <c r="E51" s="150">
        <v>596081</v>
      </c>
      <c r="F51" s="150">
        <v>920050</v>
      </c>
      <c r="G51" s="150">
        <v>1431996</v>
      </c>
      <c r="H51" s="150">
        <v>2243193</v>
      </c>
      <c r="J51" s="160">
        <f t="shared" si="3"/>
        <v>2.6340152027006816E-2</v>
      </c>
      <c r="K51" s="160">
        <f t="shared" si="3"/>
        <v>3.6412563588106184E-2</v>
      </c>
      <c r="L51" s="160">
        <f t="shared" si="3"/>
        <v>4.6385357567985876E-2</v>
      </c>
      <c r="M51" s="160">
        <f t="shared" si="3"/>
        <v>5.6206640849457257E-2</v>
      </c>
      <c r="N51" s="160">
        <f t="shared" si="2"/>
        <v>6.587556378040571E-2</v>
      </c>
      <c r="O51" s="160">
        <f t="shared" si="2"/>
        <v>7.5416367945782298E-2</v>
      </c>
      <c r="P51" s="160">
        <f t="shared" si="2"/>
        <v>8.4842960141943743E-2</v>
      </c>
    </row>
    <row r="52" spans="1:16" s="153" customFormat="1">
      <c r="I52" s="162" t="s">
        <v>0</v>
      </c>
    </row>
    <row r="53" spans="1:16" s="153" customFormat="1" ht="13.5" thickBot="1">
      <c r="I53" s="163">
        <f>SUM(J53:P53)</f>
        <v>4.7081020804159809E-2</v>
      </c>
      <c r="J53" s="160">
        <f>IF(Hilfe!$E$3='FSX (Einzel)'!J2,VLOOKUP(Hilfe!$B$54,$A$3:$P$51,10),0)</f>
        <v>0</v>
      </c>
      <c r="K53" s="160">
        <f>IF(Hilfe!$E$3='FSX (Einzel)'!K2,VLOOKUP(Hilfe!$B$54,$A$3:$P$51,11),0)</f>
        <v>0</v>
      </c>
      <c r="L53" s="160">
        <f>IF(Hilfe!$E$3='FSX (Einzel)'!L2,VLOOKUP(Hilfe!$B$54,$A$3:$P$51,12),0)</f>
        <v>0</v>
      </c>
      <c r="M53" s="160">
        <f>IF(Hilfe!$E$3='FSX (Einzel)'!M2,VLOOKUP(Hilfe!$B$54,$A$3:$P$51,13),0)</f>
        <v>4.7081020804159809E-2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P53"/>
  <sheetViews>
    <sheetView topLeftCell="A28"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129</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0">
        <v>16186</v>
      </c>
      <c r="C3" s="150">
        <v>17233</v>
      </c>
      <c r="D3" s="150">
        <v>18358</v>
      </c>
      <c r="E3" s="150">
        <v>19564</v>
      </c>
      <c r="F3" s="150">
        <v>20860</v>
      </c>
      <c r="G3" s="150">
        <v>22248</v>
      </c>
      <c r="H3" s="150">
        <v>23738</v>
      </c>
      <c r="J3" s="160">
        <f>RATE($A$3*12,-100,0,B3)*12</f>
        <v>1.9265168050529018E-2</v>
      </c>
      <c r="K3" s="160">
        <f t="shared" ref="K3:P3" si="0">RATE($A3*12,-100,0,C3)*12</f>
        <v>2.9315681235598003E-2</v>
      </c>
      <c r="L3" s="160">
        <f t="shared" si="0"/>
        <v>3.927473005176757E-2</v>
      </c>
      <c r="M3" s="160">
        <f t="shared" si="0"/>
        <v>4.9121750881220436E-2</v>
      </c>
      <c r="N3" s="160">
        <f t="shared" si="0"/>
        <v>5.8883467157261157E-2</v>
      </c>
      <c r="O3" s="160">
        <f t="shared" si="0"/>
        <v>6.852991976792297E-2</v>
      </c>
      <c r="P3" s="160">
        <f t="shared" si="0"/>
        <v>7.8087206786324609E-2</v>
      </c>
    </row>
    <row r="4" spans="1:16">
      <c r="A4" s="150">
        <v>13</v>
      </c>
      <c r="B4" s="150">
        <v>17796</v>
      </c>
      <c r="C4" s="150">
        <v>19053</v>
      </c>
      <c r="D4" s="150">
        <v>20411</v>
      </c>
      <c r="E4" s="150">
        <v>21879</v>
      </c>
      <c r="F4" s="150">
        <v>23463</v>
      </c>
      <c r="G4" s="150">
        <v>25179</v>
      </c>
      <c r="H4" s="150">
        <v>27031</v>
      </c>
      <c r="J4" s="160">
        <f t="shared" ref="J4:P40" si="1">RATE($A4*12,-100,0,B4)*12</f>
        <v>1.9975233176881241E-2</v>
      </c>
      <c r="K4" s="160">
        <f t="shared" si="1"/>
        <v>3.001923300475566E-2</v>
      </c>
      <c r="L4" s="160">
        <f t="shared" si="1"/>
        <v>3.9956491025961924E-2</v>
      </c>
      <c r="M4" s="160">
        <f t="shared" si="1"/>
        <v>4.9795267011138913E-2</v>
      </c>
      <c r="N4" s="160">
        <f t="shared" si="1"/>
        <v>5.952058225711751E-2</v>
      </c>
      <c r="O4" s="160">
        <f t="shared" si="1"/>
        <v>6.9173312099981857E-2</v>
      </c>
      <c r="P4" s="160">
        <f t="shared" si="1"/>
        <v>7.8719168938987422E-2</v>
      </c>
    </row>
    <row r="5" spans="1:16">
      <c r="A5" s="150">
        <v>14</v>
      </c>
      <c r="B5" s="150">
        <v>19451</v>
      </c>
      <c r="C5" s="150">
        <v>20941</v>
      </c>
      <c r="D5" s="150">
        <v>22563</v>
      </c>
      <c r="E5" s="150">
        <v>24328</v>
      </c>
      <c r="F5" s="150">
        <v>26248</v>
      </c>
      <c r="G5" s="150">
        <v>28340</v>
      </c>
      <c r="H5" s="150">
        <v>30616</v>
      </c>
      <c r="J5" s="160">
        <f t="shared" si="1"/>
        <v>2.0578530190357356E-2</v>
      </c>
      <c r="K5" s="160">
        <f t="shared" si="1"/>
        <v>3.0608132056885687E-2</v>
      </c>
      <c r="L5" s="160">
        <f t="shared" si="1"/>
        <v>4.0536909127790899E-2</v>
      </c>
      <c r="M5" s="160">
        <f t="shared" si="1"/>
        <v>5.0362668965676378E-2</v>
      </c>
      <c r="N5" s="160">
        <f t="shared" si="1"/>
        <v>6.0084687731516123E-2</v>
      </c>
      <c r="O5" s="160">
        <f t="shared" si="1"/>
        <v>6.9720599240805148E-2</v>
      </c>
      <c r="P5" s="160">
        <f t="shared" si="1"/>
        <v>7.9258024998620488E-2</v>
      </c>
    </row>
    <row r="6" spans="1:16">
      <c r="A6" s="150">
        <v>15</v>
      </c>
      <c r="B6" s="150">
        <v>21152</v>
      </c>
      <c r="C6" s="150">
        <v>22902</v>
      </c>
      <c r="D6" s="150">
        <v>24818</v>
      </c>
      <c r="E6" s="150">
        <v>26921</v>
      </c>
      <c r="F6" s="150">
        <v>29223</v>
      </c>
      <c r="G6" s="150">
        <v>31748</v>
      </c>
      <c r="H6" s="150">
        <v>34519</v>
      </c>
      <c r="J6" s="160">
        <f t="shared" si="1"/>
        <v>2.1095808735905476E-2</v>
      </c>
      <c r="K6" s="160">
        <f t="shared" si="1"/>
        <v>3.1121302957858456E-2</v>
      </c>
      <c r="L6" s="160">
        <f t="shared" si="1"/>
        <v>4.1033052238492511E-2</v>
      </c>
      <c r="M6" s="160">
        <f t="shared" si="1"/>
        <v>5.0856852975706274E-2</v>
      </c>
      <c r="N6" s="160">
        <f t="shared" si="1"/>
        <v>6.0567671174814409E-2</v>
      </c>
      <c r="O6" s="160">
        <f t="shared" si="1"/>
        <v>7.018770322813471E-2</v>
      </c>
      <c r="P6" s="160">
        <f t="shared" si="1"/>
        <v>7.9722918409091514E-2</v>
      </c>
    </row>
    <row r="7" spans="1:16">
      <c r="A7" s="150">
        <v>16</v>
      </c>
      <c r="B7" s="150">
        <v>22898</v>
      </c>
      <c r="C7" s="150">
        <v>24936</v>
      </c>
      <c r="D7" s="150">
        <v>27184</v>
      </c>
      <c r="E7" s="150">
        <v>29663</v>
      </c>
      <c r="F7" s="150">
        <v>32403</v>
      </c>
      <c r="G7" s="150">
        <v>35427</v>
      </c>
      <c r="H7" s="150">
        <v>38766</v>
      </c>
      <c r="J7" s="160">
        <f t="shared" si="1"/>
        <v>2.1532299310933506E-2</v>
      </c>
      <c r="K7" s="160">
        <f t="shared" si="1"/>
        <v>3.1559202605293428E-2</v>
      </c>
      <c r="L7" s="160">
        <f t="shared" si="1"/>
        <v>4.1474669146481721E-2</v>
      </c>
      <c r="M7" s="160">
        <f t="shared" si="1"/>
        <v>5.1277936204056927E-2</v>
      </c>
      <c r="N7" s="160">
        <f t="shared" si="1"/>
        <v>6.0992449574377522E-2</v>
      </c>
      <c r="O7" s="160">
        <f t="shared" si="1"/>
        <v>7.060488250572397E-2</v>
      </c>
      <c r="P7" s="160">
        <f t="shared" si="1"/>
        <v>8.0121821825674774E-2</v>
      </c>
    </row>
    <row r="8" spans="1:16">
      <c r="A8" s="150">
        <v>17</v>
      </c>
      <c r="B8" s="150">
        <v>24696</v>
      </c>
      <c r="C8" s="150">
        <v>27047</v>
      </c>
      <c r="D8" s="150">
        <v>29661</v>
      </c>
      <c r="E8" s="150">
        <v>32568</v>
      </c>
      <c r="F8" s="150">
        <v>35801</v>
      </c>
      <c r="G8" s="150">
        <v>39395</v>
      </c>
      <c r="H8" s="150">
        <v>43393</v>
      </c>
      <c r="J8" s="160">
        <f t="shared" si="1"/>
        <v>2.19311884241183E-2</v>
      </c>
      <c r="K8" s="160">
        <f t="shared" si="1"/>
        <v>3.1942092796068959E-2</v>
      </c>
      <c r="L8" s="160">
        <f t="shared" si="1"/>
        <v>4.1850439371443879E-2</v>
      </c>
      <c r="M8" s="160">
        <f t="shared" si="1"/>
        <v>5.1657956626634381E-2</v>
      </c>
      <c r="N8" s="160">
        <f t="shared" si="1"/>
        <v>6.1365522493137564E-2</v>
      </c>
      <c r="O8" s="160">
        <f t="shared" si="1"/>
        <v>7.0970247633450431E-2</v>
      </c>
      <c r="P8" s="160">
        <f t="shared" si="1"/>
        <v>8.0480276663285805E-2</v>
      </c>
    </row>
    <row r="9" spans="1:16">
      <c r="A9" s="150">
        <v>18</v>
      </c>
      <c r="B9" s="150">
        <v>26544</v>
      </c>
      <c r="C9" s="150">
        <v>29241</v>
      </c>
      <c r="D9" s="150">
        <v>32261</v>
      </c>
      <c r="E9" s="150">
        <v>35643</v>
      </c>
      <c r="F9" s="150">
        <v>39432</v>
      </c>
      <c r="G9" s="150">
        <v>43675</v>
      </c>
      <c r="H9" s="150">
        <v>48430</v>
      </c>
      <c r="J9" s="160">
        <f t="shared" si="1"/>
        <v>2.2282507579675925E-2</v>
      </c>
      <c r="K9" s="160">
        <f t="shared" si="1"/>
        <v>3.2290409429012353E-2</v>
      </c>
      <c r="L9" s="160">
        <f t="shared" si="1"/>
        <v>4.2194473074190789E-2</v>
      </c>
      <c r="M9" s="160">
        <f t="shared" si="1"/>
        <v>5.1994897900565912E-2</v>
      </c>
      <c r="N9" s="160">
        <f t="shared" si="1"/>
        <v>6.1695755839456169E-2</v>
      </c>
      <c r="O9" s="160">
        <f t="shared" si="1"/>
        <v>7.1293319612159733E-2</v>
      </c>
      <c r="P9" s="160">
        <f t="shared" si="1"/>
        <v>8.0796138461350392E-2</v>
      </c>
    </row>
    <row r="10" spans="1:16">
      <c r="A10" s="150">
        <v>19</v>
      </c>
      <c r="B10" s="150">
        <v>28443</v>
      </c>
      <c r="C10" s="150">
        <v>31518</v>
      </c>
      <c r="D10" s="150">
        <v>34986</v>
      </c>
      <c r="E10" s="150">
        <v>38898</v>
      </c>
      <c r="F10" s="150">
        <v>43310</v>
      </c>
      <c r="G10" s="150">
        <v>48294</v>
      </c>
      <c r="H10" s="150">
        <v>53933</v>
      </c>
      <c r="J10" s="160">
        <f t="shared" si="1"/>
        <v>2.2592871739302498E-2</v>
      </c>
      <c r="K10" s="160">
        <f t="shared" si="1"/>
        <v>3.2598380549741443E-2</v>
      </c>
      <c r="L10" s="160">
        <f t="shared" si="1"/>
        <v>4.2499153813753091E-2</v>
      </c>
      <c r="M10" s="160">
        <f t="shared" si="1"/>
        <v>5.2295697377001127E-2</v>
      </c>
      <c r="N10" s="160">
        <f t="shared" si="1"/>
        <v>6.1985914364659889E-2</v>
      </c>
      <c r="O10" s="160">
        <f t="shared" si="1"/>
        <v>7.1585319949775628E-2</v>
      </c>
      <c r="P10" s="160">
        <f t="shared" si="1"/>
        <v>8.1107496231818912E-2</v>
      </c>
    </row>
    <row r="11" spans="1:16">
      <c r="A11" s="150">
        <v>20</v>
      </c>
      <c r="B11" s="150">
        <v>30394</v>
      </c>
      <c r="C11" s="150">
        <v>33883</v>
      </c>
      <c r="D11" s="150">
        <v>37844</v>
      </c>
      <c r="E11" s="150">
        <v>42344</v>
      </c>
      <c r="F11" s="150">
        <v>47458</v>
      </c>
      <c r="G11" s="150">
        <v>53292</v>
      </c>
      <c r="H11" s="150">
        <v>59940</v>
      </c>
      <c r="J11" s="160">
        <f t="shared" si="1"/>
        <v>2.2867718959352072E-2</v>
      </c>
      <c r="K11" s="160">
        <f t="shared" si="1"/>
        <v>3.2877530723755259E-2</v>
      </c>
      <c r="L11" s="160">
        <f t="shared" si="1"/>
        <v>4.2775418001874135E-2</v>
      </c>
      <c r="M11" s="160">
        <f t="shared" si="1"/>
        <v>5.2566712795742696E-2</v>
      </c>
      <c r="N11" s="160">
        <f t="shared" si="1"/>
        <v>6.2253655296044069E-2</v>
      </c>
      <c r="O11" s="160">
        <f t="shared" si="1"/>
        <v>7.1870519572448069E-2</v>
      </c>
      <c r="P11" s="160">
        <f t="shared" si="1"/>
        <v>8.140345047838933E-2</v>
      </c>
    </row>
    <row r="12" spans="1:16">
      <c r="A12" s="150">
        <v>21</v>
      </c>
      <c r="B12" s="150">
        <v>32402</v>
      </c>
      <c r="C12" s="150">
        <v>36339</v>
      </c>
      <c r="D12" s="150">
        <v>40840</v>
      </c>
      <c r="E12" s="150">
        <v>45992</v>
      </c>
      <c r="F12" s="150">
        <v>51899</v>
      </c>
      <c r="G12" s="150">
        <v>58692</v>
      </c>
      <c r="H12" s="150">
        <v>66481</v>
      </c>
      <c r="J12" s="160">
        <f t="shared" si="1"/>
        <v>2.3122503456810224E-2</v>
      </c>
      <c r="K12" s="160">
        <f t="shared" si="1"/>
        <v>3.3130703777322558E-2</v>
      </c>
      <c r="L12" s="160">
        <f t="shared" si="1"/>
        <v>4.3023912309331884E-2</v>
      </c>
      <c r="M12" s="160">
        <f t="shared" si="1"/>
        <v>5.2811693676148262E-2</v>
      </c>
      <c r="N12" s="160">
        <f t="shared" si="1"/>
        <v>6.2507505069433644E-2</v>
      </c>
      <c r="O12" s="160">
        <f t="shared" si="1"/>
        <v>7.2135728000931293E-2</v>
      </c>
      <c r="P12" s="160">
        <f t="shared" si="1"/>
        <v>8.1665218491559055E-2</v>
      </c>
    </row>
    <row r="13" spans="1:16">
      <c r="A13" s="150">
        <v>22</v>
      </c>
      <c r="B13" s="150">
        <v>34467</v>
      </c>
      <c r="C13" s="150">
        <v>38886</v>
      </c>
      <c r="D13" s="150">
        <v>43981</v>
      </c>
      <c r="E13" s="150">
        <v>49852</v>
      </c>
      <c r="F13" s="150">
        <v>56666</v>
      </c>
      <c r="G13" s="150">
        <v>64528</v>
      </c>
      <c r="H13" s="150">
        <v>73606</v>
      </c>
      <c r="J13" s="160">
        <f t="shared" si="1"/>
        <v>2.3355058510632777E-2</v>
      </c>
      <c r="K13" s="160">
        <f t="shared" si="1"/>
        <v>3.3353970153953055E-2</v>
      </c>
      <c r="L13" s="160">
        <f t="shared" si="1"/>
        <v>4.3249166086795278E-2</v>
      </c>
      <c r="M13" s="160">
        <f t="shared" si="1"/>
        <v>5.3031292687580271E-2</v>
      </c>
      <c r="N13" s="160">
        <f t="shared" si="1"/>
        <v>6.2763887782555539E-2</v>
      </c>
      <c r="O13" s="160">
        <f t="shared" si="1"/>
        <v>7.2384372943507413E-2</v>
      </c>
      <c r="P13" s="160">
        <f t="shared" si="1"/>
        <v>8.1900640471135877E-2</v>
      </c>
    </row>
    <row r="14" spans="1:16">
      <c r="A14" s="150">
        <v>23</v>
      </c>
      <c r="B14" s="150">
        <v>36589</v>
      </c>
      <c r="C14" s="150">
        <v>41533</v>
      </c>
      <c r="D14" s="150">
        <v>47273</v>
      </c>
      <c r="E14" s="150">
        <v>53965</v>
      </c>
      <c r="F14" s="150">
        <v>61761</v>
      </c>
      <c r="G14" s="150">
        <v>70824</v>
      </c>
      <c r="H14" s="150">
        <v>81374</v>
      </c>
      <c r="J14" s="160">
        <f t="shared" si="1"/>
        <v>2.3564594624189073E-2</v>
      </c>
      <c r="K14" s="160">
        <f t="shared" si="1"/>
        <v>3.3562609378635838E-2</v>
      </c>
      <c r="L14" s="160">
        <f t="shared" si="1"/>
        <v>4.3452619654114476E-2</v>
      </c>
      <c r="M14" s="160">
        <f t="shared" si="1"/>
        <v>5.3268013125445546E-2</v>
      </c>
      <c r="N14" s="160">
        <f t="shared" si="1"/>
        <v>6.2993662594113681E-2</v>
      </c>
      <c r="O14" s="160">
        <f t="shared" si="1"/>
        <v>7.26064543488944E-2</v>
      </c>
      <c r="P14" s="160">
        <f t="shared" si="1"/>
        <v>8.2119074602566178E-2</v>
      </c>
    </row>
    <row r="15" spans="1:16">
      <c r="A15" s="150">
        <v>24</v>
      </c>
      <c r="B15" s="150">
        <v>38770</v>
      </c>
      <c r="C15" s="150">
        <v>44283</v>
      </c>
      <c r="D15" s="150">
        <v>50731</v>
      </c>
      <c r="E15" s="150">
        <v>58321</v>
      </c>
      <c r="F15" s="150">
        <v>67210</v>
      </c>
      <c r="G15" s="150">
        <v>77625</v>
      </c>
      <c r="H15" s="150">
        <v>89835</v>
      </c>
      <c r="J15" s="160">
        <f t="shared" si="1"/>
        <v>2.3755155488339109E-2</v>
      </c>
      <c r="K15" s="160">
        <f t="shared" si="1"/>
        <v>3.3756274343587987E-2</v>
      </c>
      <c r="L15" s="160">
        <f t="shared" si="1"/>
        <v>4.3648158668977879E-2</v>
      </c>
      <c r="M15" s="160">
        <f t="shared" si="1"/>
        <v>5.3483427889678643E-2</v>
      </c>
      <c r="N15" s="160">
        <f t="shared" si="1"/>
        <v>6.3204080335815732E-2</v>
      </c>
      <c r="O15" s="160">
        <f t="shared" si="1"/>
        <v>7.2813266092955589E-2</v>
      </c>
      <c r="P15" s="160">
        <f t="shared" si="1"/>
        <v>8.231627194023805E-2</v>
      </c>
    </row>
    <row r="16" spans="1:16">
      <c r="A16" s="150">
        <v>25</v>
      </c>
      <c r="B16" s="150">
        <v>41011</v>
      </c>
      <c r="C16" s="150">
        <v>47136</v>
      </c>
      <c r="D16" s="150">
        <v>54377</v>
      </c>
      <c r="E16" s="150">
        <v>62939</v>
      </c>
      <c r="F16" s="150">
        <v>73036</v>
      </c>
      <c r="G16" s="150">
        <v>84967</v>
      </c>
      <c r="H16" s="150">
        <v>99059</v>
      </c>
      <c r="J16" s="160">
        <f t="shared" si="1"/>
        <v>2.3928036511762146E-2</v>
      </c>
      <c r="K16" s="160">
        <f t="shared" si="1"/>
        <v>3.3930436502524468E-2</v>
      </c>
      <c r="L16" s="160">
        <f t="shared" si="1"/>
        <v>4.3852709466141344E-2</v>
      </c>
      <c r="M16" s="160">
        <f t="shared" si="1"/>
        <v>5.3685103985988178E-2</v>
      </c>
      <c r="N16" s="160">
        <f t="shared" si="1"/>
        <v>6.3395992190953515E-2</v>
      </c>
      <c r="O16" s="160">
        <f t="shared" si="1"/>
        <v>7.3002778294105522E-2</v>
      </c>
      <c r="P16" s="160">
        <f t="shared" si="1"/>
        <v>8.2500118576135567E-2</v>
      </c>
    </row>
    <row r="17" spans="1:16">
      <c r="A17" s="150">
        <v>26</v>
      </c>
      <c r="B17" s="150">
        <v>43318</v>
      </c>
      <c r="C17" s="150">
        <v>50101</v>
      </c>
      <c r="D17" s="150">
        <v>58206</v>
      </c>
      <c r="E17" s="150">
        <v>67832</v>
      </c>
      <c r="F17" s="150">
        <v>79271</v>
      </c>
      <c r="G17" s="150">
        <v>92889</v>
      </c>
      <c r="H17" s="150">
        <v>109154</v>
      </c>
      <c r="J17" s="160">
        <f t="shared" si="1"/>
        <v>2.4092573104352272E-2</v>
      </c>
      <c r="K17" s="160">
        <f t="shared" si="1"/>
        <v>3.4094716628707375E-2</v>
      </c>
      <c r="L17" s="160">
        <f t="shared" si="1"/>
        <v>4.404528844335482E-2</v>
      </c>
      <c r="M17" s="160">
        <f t="shared" si="1"/>
        <v>5.38715625906383E-2</v>
      </c>
      <c r="N17" s="160">
        <f t="shared" si="1"/>
        <v>6.3576241704066408E-2</v>
      </c>
      <c r="O17" s="160">
        <f t="shared" si="1"/>
        <v>7.3174389515138077E-2</v>
      </c>
      <c r="P17" s="160">
        <f t="shared" si="1"/>
        <v>8.2692645505751089E-2</v>
      </c>
    </row>
    <row r="18" spans="1:16">
      <c r="A18" s="150">
        <v>27</v>
      </c>
      <c r="B18" s="150">
        <v>45690</v>
      </c>
      <c r="C18" s="150">
        <v>53201</v>
      </c>
      <c r="D18" s="150">
        <v>62223</v>
      </c>
      <c r="E18" s="150">
        <v>73008</v>
      </c>
      <c r="F18" s="150">
        <v>85936</v>
      </c>
      <c r="G18" s="150">
        <v>101444</v>
      </c>
      <c r="H18" s="150">
        <v>120170</v>
      </c>
      <c r="J18" s="160">
        <f t="shared" si="1"/>
        <v>2.4244808339607998E-2</v>
      </c>
      <c r="K18" s="160">
        <f t="shared" si="1"/>
        <v>3.4272409518928015E-2</v>
      </c>
      <c r="L18" s="160">
        <f t="shared" si="1"/>
        <v>4.4222546970353938E-2</v>
      </c>
      <c r="M18" s="160">
        <f t="shared" si="1"/>
        <v>5.4037464053718107E-2</v>
      </c>
      <c r="N18" s="160">
        <f t="shared" si="1"/>
        <v>6.3740407887619102E-2</v>
      </c>
      <c r="O18" s="160">
        <f t="shared" si="1"/>
        <v>7.3334458304481015E-2</v>
      </c>
      <c r="P18" s="160">
        <f t="shared" si="1"/>
        <v>8.2874947040759761E-2</v>
      </c>
    </row>
    <row r="19" spans="1:16">
      <c r="A19" s="150">
        <v>28</v>
      </c>
      <c r="B19" s="150">
        <v>48129</v>
      </c>
      <c r="C19" s="150">
        <v>56427</v>
      </c>
      <c r="D19" s="150">
        <v>66433</v>
      </c>
      <c r="E19" s="150">
        <v>78498</v>
      </c>
      <c r="F19" s="150">
        <v>93068</v>
      </c>
      <c r="G19" s="150">
        <v>110737</v>
      </c>
      <c r="H19" s="150">
        <v>132169</v>
      </c>
      <c r="J19" s="160">
        <f t="shared" si="1"/>
        <v>2.4386283487509319E-2</v>
      </c>
      <c r="K19" s="160">
        <f t="shared" si="1"/>
        <v>3.4442748495906221E-2</v>
      </c>
      <c r="L19" s="160">
        <f t="shared" si="1"/>
        <v>4.4382391693588548E-2</v>
      </c>
      <c r="M19" s="160">
        <f t="shared" si="1"/>
        <v>5.4196525459574943E-2</v>
      </c>
      <c r="N19" s="160">
        <f t="shared" si="1"/>
        <v>6.3894899092552804E-2</v>
      </c>
      <c r="O19" s="160">
        <f t="shared" si="1"/>
        <v>7.3510816971899984E-2</v>
      </c>
      <c r="P19" s="160">
        <f t="shared" si="1"/>
        <v>8.3038635887997606E-2</v>
      </c>
    </row>
    <row r="20" spans="1:16">
      <c r="A20" s="150">
        <v>29</v>
      </c>
      <c r="B20" s="150">
        <v>50641</v>
      </c>
      <c r="C20" s="150">
        <v>59777</v>
      </c>
      <c r="D20" s="150">
        <v>70856</v>
      </c>
      <c r="E20" s="150">
        <v>84316</v>
      </c>
      <c r="F20" s="150">
        <v>100700</v>
      </c>
      <c r="G20" s="150">
        <v>120771</v>
      </c>
      <c r="H20" s="150">
        <v>145247</v>
      </c>
      <c r="J20" s="160">
        <f t="shared" si="1"/>
        <v>2.4523115632184414E-2</v>
      </c>
      <c r="K20" s="160">
        <f t="shared" si="1"/>
        <v>3.4598811886933742E-2</v>
      </c>
      <c r="L20" s="160">
        <f t="shared" si="1"/>
        <v>4.4535794730545052E-2</v>
      </c>
      <c r="M20" s="160">
        <f t="shared" si="1"/>
        <v>5.4345523526484127E-2</v>
      </c>
      <c r="N20" s="160">
        <f t="shared" si="1"/>
        <v>6.4040563638924464E-2</v>
      </c>
      <c r="O20" s="160">
        <f t="shared" si="1"/>
        <v>7.3672241143104764E-2</v>
      </c>
      <c r="P20" s="160">
        <f t="shared" si="1"/>
        <v>8.3189146541708087E-2</v>
      </c>
    </row>
    <row r="21" spans="1:16">
      <c r="A21" s="150">
        <v>30</v>
      </c>
      <c r="B21" s="150">
        <v>53245</v>
      </c>
      <c r="C21" s="150">
        <v>63260</v>
      </c>
      <c r="D21" s="150">
        <v>75494</v>
      </c>
      <c r="E21" s="150">
        <v>90476</v>
      </c>
      <c r="F21" s="150">
        <v>108905</v>
      </c>
      <c r="G21" s="150">
        <v>131610</v>
      </c>
      <c r="H21" s="150">
        <v>159522</v>
      </c>
      <c r="J21" s="160">
        <f t="shared" si="1"/>
        <v>2.4674101184804946E-2</v>
      </c>
      <c r="K21" s="160">
        <f t="shared" si="1"/>
        <v>3.4746094790480367E-2</v>
      </c>
      <c r="L21" s="160">
        <f t="shared" si="1"/>
        <v>4.4676473506864753E-2</v>
      </c>
      <c r="M21" s="160">
        <f t="shared" si="1"/>
        <v>5.4482023415392461E-2</v>
      </c>
      <c r="N21" s="160">
        <f t="shared" si="1"/>
        <v>6.4195996458075125E-2</v>
      </c>
      <c r="O21" s="160">
        <f t="shared" si="1"/>
        <v>7.3822343047090205E-2</v>
      </c>
      <c r="P21" s="160">
        <f t="shared" si="1"/>
        <v>8.3334360240915395E-2</v>
      </c>
    </row>
    <row r="22" spans="1:16">
      <c r="A22" s="150">
        <v>31</v>
      </c>
      <c r="B22" s="150">
        <v>55923</v>
      </c>
      <c r="C22" s="150">
        <v>66880</v>
      </c>
      <c r="D22" s="150">
        <v>80364</v>
      </c>
      <c r="E22" s="150">
        <v>97006</v>
      </c>
      <c r="F22" s="150">
        <v>117687</v>
      </c>
      <c r="G22" s="150">
        <v>143316</v>
      </c>
      <c r="H22" s="150">
        <v>175085</v>
      </c>
      <c r="J22" s="160">
        <f t="shared" si="1"/>
        <v>2.481376546672466E-2</v>
      </c>
      <c r="K22" s="160">
        <f t="shared" si="1"/>
        <v>3.4884205164379171E-2</v>
      </c>
      <c r="L22" s="160">
        <f t="shared" si="1"/>
        <v>4.4810205351639786E-2</v>
      </c>
      <c r="M22" s="160">
        <f t="shared" si="1"/>
        <v>5.4611632091133802E-2</v>
      </c>
      <c r="N22" s="160">
        <f t="shared" si="1"/>
        <v>6.4341674480631855E-2</v>
      </c>
      <c r="O22" s="160">
        <f t="shared" si="1"/>
        <v>7.3961342267115177E-2</v>
      </c>
      <c r="P22" s="160">
        <f t="shared" si="1"/>
        <v>8.3469174056151396E-2</v>
      </c>
    </row>
    <row r="23" spans="1:16">
      <c r="A23" s="150">
        <v>32</v>
      </c>
      <c r="B23" s="150">
        <v>58681</v>
      </c>
      <c r="C23" s="150">
        <v>70635</v>
      </c>
      <c r="D23" s="150">
        <v>85474</v>
      </c>
      <c r="E23" s="150">
        <v>103945</v>
      </c>
      <c r="F23" s="150">
        <v>127082</v>
      </c>
      <c r="G23" s="150">
        <v>155969</v>
      </c>
      <c r="H23" s="150">
        <v>192040</v>
      </c>
      <c r="J23" s="160">
        <f t="shared" si="1"/>
        <v>2.4946990816302247E-2</v>
      </c>
      <c r="K23" s="160">
        <f t="shared" si="1"/>
        <v>3.5008391726323723E-2</v>
      </c>
      <c r="L23" s="160">
        <f t="shared" si="1"/>
        <v>4.493524298091546E-2</v>
      </c>
      <c r="M23" s="160">
        <f t="shared" si="1"/>
        <v>5.4742704539713874E-2</v>
      </c>
      <c r="N23" s="160">
        <f t="shared" si="1"/>
        <v>6.4476707515135692E-2</v>
      </c>
      <c r="O23" s="160">
        <f t="shared" si="1"/>
        <v>7.4093533715631821E-2</v>
      </c>
      <c r="P23" s="160">
        <f t="shared" si="1"/>
        <v>8.3591744144055041E-2</v>
      </c>
    </row>
    <row r="24" spans="1:16">
      <c r="A24" s="150">
        <v>33</v>
      </c>
      <c r="B24" s="150">
        <v>61515</v>
      </c>
      <c r="C24" s="150">
        <v>74541</v>
      </c>
      <c r="D24" s="150">
        <v>90825</v>
      </c>
      <c r="E24" s="150">
        <v>111323</v>
      </c>
      <c r="F24" s="150">
        <v>137141</v>
      </c>
      <c r="G24" s="150">
        <v>169624</v>
      </c>
      <c r="H24" s="150">
        <v>210593</v>
      </c>
      <c r="J24" s="160">
        <f t="shared" si="1"/>
        <v>2.5068575258313876E-2</v>
      </c>
      <c r="K24" s="160">
        <f t="shared" si="1"/>
        <v>3.5127948577136747E-2</v>
      </c>
      <c r="L24" s="160">
        <f t="shared" si="1"/>
        <v>4.5046513680705433E-2</v>
      </c>
      <c r="M24" s="160">
        <f t="shared" si="1"/>
        <v>5.4875978802861436E-2</v>
      </c>
      <c r="N24" s="160">
        <f t="shared" si="1"/>
        <v>6.4604922343982935E-2</v>
      </c>
      <c r="O24" s="160">
        <f t="shared" si="1"/>
        <v>7.4213590760716916E-2</v>
      </c>
      <c r="P24" s="160">
        <f t="shared" si="1"/>
        <v>8.372034960861971E-2</v>
      </c>
    </row>
    <row r="25" spans="1:16">
      <c r="A25" s="150">
        <v>34</v>
      </c>
      <c r="B25" s="150">
        <v>64431</v>
      </c>
      <c r="C25" s="150">
        <v>78600</v>
      </c>
      <c r="D25" s="150">
        <v>96452</v>
      </c>
      <c r="E25" s="150">
        <v>119147</v>
      </c>
      <c r="F25" s="150">
        <v>147911</v>
      </c>
      <c r="G25" s="150">
        <v>184376</v>
      </c>
      <c r="H25" s="150">
        <v>230881</v>
      </c>
      <c r="J25" s="160">
        <f t="shared" si="1"/>
        <v>2.5182997310391857E-2</v>
      </c>
      <c r="K25" s="160">
        <f t="shared" si="1"/>
        <v>3.524043555443282E-2</v>
      </c>
      <c r="L25" s="160">
        <f t="shared" si="1"/>
        <v>4.5157446995040644E-2</v>
      </c>
      <c r="M25" s="160">
        <f t="shared" si="1"/>
        <v>5.5002253506992879E-2</v>
      </c>
      <c r="N25" s="160">
        <f t="shared" si="1"/>
        <v>6.4726749521515026E-2</v>
      </c>
      <c r="O25" s="160">
        <f t="shared" si="1"/>
        <v>7.432662654048014E-2</v>
      </c>
      <c r="P25" s="160">
        <f t="shared" si="1"/>
        <v>8.3850421867455033E-2</v>
      </c>
    </row>
    <row r="26" spans="1:16">
      <c r="A26" s="150">
        <v>35</v>
      </c>
      <c r="B26" s="150">
        <v>67432</v>
      </c>
      <c r="C26" s="150">
        <v>82820</v>
      </c>
      <c r="D26" s="150">
        <v>102370</v>
      </c>
      <c r="E26" s="150">
        <v>127441</v>
      </c>
      <c r="F26" s="150">
        <v>159431</v>
      </c>
      <c r="G26" s="150">
        <v>200324</v>
      </c>
      <c r="H26" s="150">
        <v>252970</v>
      </c>
      <c r="J26" s="160">
        <f t="shared" si="1"/>
        <v>2.529132659019764E-2</v>
      </c>
      <c r="K26" s="160">
        <f t="shared" si="1"/>
        <v>3.5347602514126282E-2</v>
      </c>
      <c r="L26" s="160">
        <f t="shared" si="1"/>
        <v>4.5267816539025327E-2</v>
      </c>
      <c r="M26" s="160">
        <f t="shared" si="1"/>
        <v>5.5120981253564481E-2</v>
      </c>
      <c r="N26" s="160">
        <f t="shared" si="1"/>
        <v>6.4839558535997169E-2</v>
      </c>
      <c r="O26" s="160">
        <f t="shared" si="1"/>
        <v>7.4435434378265955E-2</v>
      </c>
      <c r="P26" s="160">
        <f t="shared" si="1"/>
        <v>8.3965431757604403E-2</v>
      </c>
    </row>
    <row r="27" spans="1:16">
      <c r="A27" s="150">
        <v>36</v>
      </c>
      <c r="B27" s="150">
        <v>70520</v>
      </c>
      <c r="C27" s="150">
        <v>87202</v>
      </c>
      <c r="D27" s="150">
        <v>108619</v>
      </c>
      <c r="E27" s="150">
        <v>136232</v>
      </c>
      <c r="F27" s="150">
        <v>171756</v>
      </c>
      <c r="G27" s="150">
        <v>217631</v>
      </c>
      <c r="H27" s="150">
        <v>277105</v>
      </c>
      <c r="J27" s="160">
        <f t="shared" si="1"/>
        <v>2.5393693654678594E-2</v>
      </c>
      <c r="K27" s="160">
        <f t="shared" si="1"/>
        <v>3.5446920901279176E-2</v>
      </c>
      <c r="L27" s="160">
        <f t="shared" si="1"/>
        <v>4.5387305266057901E-2</v>
      </c>
      <c r="M27" s="160">
        <f t="shared" si="1"/>
        <v>5.52324001968168E-2</v>
      </c>
      <c r="N27" s="160">
        <f t="shared" si="1"/>
        <v>6.4944932091198587E-2</v>
      </c>
      <c r="O27" s="160">
        <f t="shared" si="1"/>
        <v>7.4552217416505112E-2</v>
      </c>
      <c r="P27" s="160">
        <f t="shared" si="1"/>
        <v>8.4079392980850057E-2</v>
      </c>
    </row>
    <row r="28" spans="1:16">
      <c r="A28" s="150">
        <v>37</v>
      </c>
      <c r="B28" s="150">
        <v>73700</v>
      </c>
      <c r="C28" s="150">
        <v>91755</v>
      </c>
      <c r="D28" s="150">
        <v>115173</v>
      </c>
      <c r="E28" s="150">
        <v>145558</v>
      </c>
      <c r="F28" s="150">
        <v>184944</v>
      </c>
      <c r="G28" s="150">
        <v>236365</v>
      </c>
      <c r="H28" s="150">
        <v>303453</v>
      </c>
      <c r="J28" s="160">
        <f t="shared" si="1"/>
        <v>2.5492147490212877E-2</v>
      </c>
      <c r="K28" s="160">
        <f t="shared" si="1"/>
        <v>3.5540533595538187E-2</v>
      </c>
      <c r="L28" s="160">
        <f t="shared" si="1"/>
        <v>4.5497273440496158E-2</v>
      </c>
      <c r="M28" s="160">
        <f t="shared" si="1"/>
        <v>5.5339465493125864E-2</v>
      </c>
      <c r="N28" s="160">
        <f t="shared" si="1"/>
        <v>6.504392686239592E-2</v>
      </c>
      <c r="O28" s="160">
        <f t="shared" si="1"/>
        <v>7.4667045728818313E-2</v>
      </c>
      <c r="P28" s="160">
        <f t="shared" si="1"/>
        <v>8.4188962760919084E-2</v>
      </c>
    </row>
    <row r="29" spans="1:16">
      <c r="A29" s="150">
        <v>38</v>
      </c>
      <c r="B29" s="150">
        <v>76970</v>
      </c>
      <c r="C29" s="150">
        <v>96489</v>
      </c>
      <c r="D29" s="150">
        <v>122058</v>
      </c>
      <c r="E29" s="150">
        <v>155426</v>
      </c>
      <c r="F29" s="150">
        <v>199062</v>
      </c>
      <c r="G29" s="150">
        <v>256614</v>
      </c>
      <c r="H29" s="150">
        <v>332311</v>
      </c>
      <c r="J29" s="160">
        <f t="shared" si="1"/>
        <v>2.5584049205814877E-2</v>
      </c>
      <c r="K29" s="160">
        <f t="shared" si="1"/>
        <v>3.5630400954704947E-2</v>
      </c>
      <c r="L29" s="160">
        <f t="shared" si="1"/>
        <v>4.5602501900411034E-2</v>
      </c>
      <c r="M29" s="160">
        <f t="shared" si="1"/>
        <v>5.543577163963917E-2</v>
      </c>
      <c r="N29" s="160">
        <f t="shared" si="1"/>
        <v>6.51383500340878E-2</v>
      </c>
      <c r="O29" s="160">
        <f t="shared" si="1"/>
        <v>7.4775258897364097E-2</v>
      </c>
      <c r="P29" s="160">
        <f t="shared" si="1"/>
        <v>8.4304543150671901E-2</v>
      </c>
    </row>
    <row r="30" spans="1:16">
      <c r="A30" s="150">
        <v>39</v>
      </c>
      <c r="B30" s="150">
        <v>80333</v>
      </c>
      <c r="C30" s="150">
        <v>101423</v>
      </c>
      <c r="D30" s="150">
        <v>129286</v>
      </c>
      <c r="E30" s="150">
        <v>165903</v>
      </c>
      <c r="F30" s="150">
        <v>214258</v>
      </c>
      <c r="G30" s="150">
        <v>278467</v>
      </c>
      <c r="H30" s="150">
        <v>363811</v>
      </c>
      <c r="J30" s="160">
        <f t="shared" si="1"/>
        <v>2.5670253191973535E-2</v>
      </c>
      <c r="K30" s="160">
        <f t="shared" si="1"/>
        <v>3.5721596584365259E-2</v>
      </c>
      <c r="L30" s="160">
        <f t="shared" si="1"/>
        <v>4.5701773024385786E-2</v>
      </c>
      <c r="M30" s="160">
        <f t="shared" si="1"/>
        <v>5.5530867411875719E-2</v>
      </c>
      <c r="N30" s="160">
        <f t="shared" si="1"/>
        <v>6.5242818883251397E-2</v>
      </c>
      <c r="O30" s="160">
        <f t="shared" si="1"/>
        <v>7.4873022583162696E-2</v>
      </c>
      <c r="P30" s="160">
        <f t="shared" si="1"/>
        <v>8.4414015031749862E-2</v>
      </c>
    </row>
    <row r="31" spans="1:16">
      <c r="A31" s="150">
        <v>40</v>
      </c>
      <c r="B31" s="150">
        <v>83793</v>
      </c>
      <c r="C31" s="150">
        <v>106585</v>
      </c>
      <c r="D31" s="150">
        <v>136879</v>
      </c>
      <c r="E31" s="150">
        <v>177008</v>
      </c>
      <c r="F31" s="150">
        <v>230549</v>
      </c>
      <c r="G31" s="150">
        <v>302090</v>
      </c>
      <c r="H31" s="150">
        <v>398226</v>
      </c>
      <c r="J31" s="160">
        <f t="shared" si="1"/>
        <v>2.5751950337080803E-2</v>
      </c>
      <c r="K31" s="160">
        <f t="shared" si="1"/>
        <v>3.5821026211805065E-2</v>
      </c>
      <c r="L31" s="160">
        <f t="shared" si="1"/>
        <v>4.5796958974100813E-2</v>
      </c>
      <c r="M31" s="160">
        <f t="shared" si="1"/>
        <v>5.5620551633094609E-2</v>
      </c>
      <c r="N31" s="160">
        <f t="shared" si="1"/>
        <v>6.534494863708469E-2</v>
      </c>
      <c r="O31" s="160">
        <f t="shared" si="1"/>
        <v>7.4966099340397496E-2</v>
      </c>
      <c r="P31" s="160">
        <f t="shared" si="1"/>
        <v>8.4520470489296451E-2</v>
      </c>
    </row>
    <row r="32" spans="1:16">
      <c r="A32" s="150">
        <v>41</v>
      </c>
      <c r="B32" s="150">
        <v>87561</v>
      </c>
      <c r="C32" s="150">
        <v>112219</v>
      </c>
      <c r="D32" s="150">
        <v>145184</v>
      </c>
      <c r="E32" s="150">
        <v>189223</v>
      </c>
      <c r="F32" s="150">
        <v>248576</v>
      </c>
      <c r="G32" s="150">
        <v>328575</v>
      </c>
      <c r="H32" s="150">
        <v>436798</v>
      </c>
      <c r="J32" s="160">
        <f t="shared" si="1"/>
        <v>2.5928828019485206E-2</v>
      </c>
      <c r="K32" s="160">
        <f t="shared" si="1"/>
        <v>3.6009627676431566E-2</v>
      </c>
      <c r="L32" s="160">
        <f t="shared" si="1"/>
        <v>4.5973987272795357E-2</v>
      </c>
      <c r="M32" s="160">
        <f t="shared" si="1"/>
        <v>5.5790683454199616E-2</v>
      </c>
      <c r="N32" s="160">
        <f t="shared" si="1"/>
        <v>6.552399342145887E-2</v>
      </c>
      <c r="O32" s="160">
        <f t="shared" si="1"/>
        <v>7.5153069907378231E-2</v>
      </c>
      <c r="P32" s="160">
        <f t="shared" si="1"/>
        <v>8.4697551328114573E-2</v>
      </c>
    </row>
    <row r="33" spans="1:16">
      <c r="A33" s="150">
        <v>42</v>
      </c>
      <c r="B33" s="150">
        <v>91470</v>
      </c>
      <c r="C33" s="150">
        <v>118121</v>
      </c>
      <c r="D33" s="150">
        <v>153969</v>
      </c>
      <c r="E33" s="150">
        <v>202261</v>
      </c>
      <c r="F33" s="150">
        <v>267986</v>
      </c>
      <c r="G33" s="150">
        <v>357365</v>
      </c>
      <c r="H33" s="150">
        <v>479104</v>
      </c>
      <c r="J33" s="160">
        <f t="shared" si="1"/>
        <v>2.6105321602328986E-2</v>
      </c>
      <c r="K33" s="160">
        <f t="shared" si="1"/>
        <v>3.6196966010034838E-2</v>
      </c>
      <c r="L33" s="160">
        <f t="shared" si="1"/>
        <v>4.615147800641968E-2</v>
      </c>
      <c r="M33" s="160">
        <f t="shared" si="1"/>
        <v>5.5961217240670033E-2</v>
      </c>
      <c r="N33" s="160">
        <f t="shared" si="1"/>
        <v>6.5700616904576084E-2</v>
      </c>
      <c r="O33" s="160">
        <f t="shared" si="1"/>
        <v>7.5336874702746803E-2</v>
      </c>
      <c r="P33" s="160">
        <f t="shared" si="1"/>
        <v>8.487172925275252E-2</v>
      </c>
    </row>
    <row r="34" spans="1:16">
      <c r="A34" s="150">
        <v>43</v>
      </c>
      <c r="B34" s="150">
        <v>95508</v>
      </c>
      <c r="C34" s="150">
        <v>124278</v>
      </c>
      <c r="D34" s="150">
        <v>163222</v>
      </c>
      <c r="E34" s="150">
        <v>216223</v>
      </c>
      <c r="F34" s="150">
        <v>288830</v>
      </c>
      <c r="G34" s="150">
        <v>388587</v>
      </c>
      <c r="H34" s="150">
        <v>525407</v>
      </c>
      <c r="J34" s="160">
        <f t="shared" si="1"/>
        <v>2.6273735369479877E-2</v>
      </c>
      <c r="K34" s="160">
        <f t="shared" si="1"/>
        <v>3.6374769536572461E-2</v>
      </c>
      <c r="L34" s="160">
        <f t="shared" si="1"/>
        <v>4.6319965104460355E-2</v>
      </c>
      <c r="M34" s="160">
        <f t="shared" si="1"/>
        <v>5.6138560042925605E-2</v>
      </c>
      <c r="N34" s="160">
        <f t="shared" si="1"/>
        <v>6.5868063364401666E-2</v>
      </c>
      <c r="O34" s="160">
        <f t="shared" si="1"/>
        <v>7.5511030391393716E-2</v>
      </c>
      <c r="P34" s="160">
        <f t="shared" si="1"/>
        <v>8.5036708198258745E-2</v>
      </c>
    </row>
    <row r="35" spans="1:16">
      <c r="A35" s="150">
        <v>44</v>
      </c>
      <c r="B35" s="150">
        <v>99676</v>
      </c>
      <c r="C35" s="150">
        <v>130699</v>
      </c>
      <c r="D35" s="150">
        <v>172965</v>
      </c>
      <c r="E35" s="150">
        <v>231071</v>
      </c>
      <c r="F35" s="150">
        <v>311271</v>
      </c>
      <c r="G35" s="150">
        <v>422434</v>
      </c>
      <c r="H35" s="150">
        <v>576069</v>
      </c>
      <c r="J35" s="160">
        <f t="shared" si="1"/>
        <v>2.6433337137196269E-2</v>
      </c>
      <c r="K35" s="160">
        <f t="shared" si="1"/>
        <v>3.6543158993858668E-2</v>
      </c>
      <c r="L35" s="160">
        <f t="shared" si="1"/>
        <v>4.6479495744806885E-2</v>
      </c>
      <c r="M35" s="160">
        <f t="shared" si="1"/>
        <v>5.6306098753695584E-2</v>
      </c>
      <c r="N35" s="160">
        <f t="shared" si="1"/>
        <v>6.6032868757055649E-2</v>
      </c>
      <c r="O35" s="160">
        <f t="shared" si="1"/>
        <v>7.5675315286485301E-2</v>
      </c>
      <c r="P35" s="160">
        <f t="shared" si="1"/>
        <v>8.5192332661658612E-2</v>
      </c>
    </row>
    <row r="36" spans="1:16">
      <c r="A36" s="150">
        <v>45</v>
      </c>
      <c r="B36" s="150">
        <v>104027</v>
      </c>
      <c r="C36" s="150">
        <v>137397</v>
      </c>
      <c r="D36" s="150">
        <v>183225</v>
      </c>
      <c r="E36" s="150">
        <v>246865</v>
      </c>
      <c r="F36" s="150">
        <v>335472</v>
      </c>
      <c r="G36" s="150">
        <v>459137</v>
      </c>
      <c r="H36" s="150">
        <v>631515</v>
      </c>
      <c r="J36" s="160">
        <f t="shared" si="1"/>
        <v>2.6602307294133966E-2</v>
      </c>
      <c r="K36" s="160">
        <f t="shared" si="1"/>
        <v>3.6703266279903696E-2</v>
      </c>
      <c r="L36" s="160">
        <f t="shared" si="1"/>
        <v>4.6630927838396952E-2</v>
      </c>
      <c r="M36" s="160">
        <f t="shared" si="1"/>
        <v>5.6465082391905855E-2</v>
      </c>
      <c r="N36" s="160">
        <f t="shared" si="1"/>
        <v>6.6198481100774725E-2</v>
      </c>
      <c r="O36" s="160">
        <f t="shared" si="1"/>
        <v>7.5831191289269184E-2</v>
      </c>
      <c r="P36" s="160">
        <f t="shared" si="1"/>
        <v>8.5340032312504199E-2</v>
      </c>
    </row>
    <row r="37" spans="1:16">
      <c r="A37" s="150">
        <v>46</v>
      </c>
      <c r="B37" s="150">
        <v>108526</v>
      </c>
      <c r="C37" s="150">
        <v>144385</v>
      </c>
      <c r="D37" s="150">
        <v>194032</v>
      </c>
      <c r="E37" s="150">
        <v>263668</v>
      </c>
      <c r="F37" s="150">
        <v>361472</v>
      </c>
      <c r="G37" s="150">
        <v>498940</v>
      </c>
      <c r="H37" s="150">
        <v>692199</v>
      </c>
      <c r="J37" s="160">
        <f>RATE($A37*12,-100,0,B37)*12</f>
        <v>2.6764573683900547E-2</v>
      </c>
      <c r="K37" s="160">
        <f t="shared" si="1"/>
        <v>3.6855913434033979E-2</v>
      </c>
      <c r="L37" s="160">
        <f t="shared" si="1"/>
        <v>4.677526818118085E-2</v>
      </c>
      <c r="M37" s="160">
        <f t="shared" si="1"/>
        <v>5.661644203876999E-2</v>
      </c>
      <c r="N37" s="160">
        <f t="shared" si="1"/>
        <v>6.6355762565968701E-2</v>
      </c>
      <c r="O37" s="160">
        <f t="shared" si="1"/>
        <v>7.5979429820485653E-2</v>
      </c>
      <c r="P37" s="160">
        <f t="shared" si="1"/>
        <v>8.5480456040941954E-2</v>
      </c>
    </row>
    <row r="38" spans="1:16">
      <c r="A38" s="150">
        <v>47</v>
      </c>
      <c r="B38" s="150">
        <v>113173</v>
      </c>
      <c r="C38" s="150">
        <v>151672</v>
      </c>
      <c r="D38" s="150">
        <v>205454</v>
      </c>
      <c r="E38" s="150">
        <v>281539</v>
      </c>
      <c r="F38" s="150">
        <v>389401</v>
      </c>
      <c r="G38" s="150">
        <v>542094</v>
      </c>
      <c r="H38" s="150">
        <v>758602</v>
      </c>
      <c r="J38" s="160">
        <f t="shared" si="1"/>
        <v>2.6918923422648552E-2</v>
      </c>
      <c r="K38" s="160">
        <f t="shared" si="1"/>
        <v>3.7000801192868728E-2</v>
      </c>
      <c r="L38" s="160">
        <f t="shared" si="1"/>
        <v>4.6919009741086523E-2</v>
      </c>
      <c r="M38" s="160">
        <f t="shared" si="1"/>
        <v>5.676008673250249E-2</v>
      </c>
      <c r="N38" s="160">
        <f t="shared" si="1"/>
        <v>6.6505010041645121E-2</v>
      </c>
      <c r="O38" s="160">
        <f t="shared" si="1"/>
        <v>7.6119971217646673E-2</v>
      </c>
      <c r="P38" s="160">
        <f t="shared" si="1"/>
        <v>8.5613586567618083E-2</v>
      </c>
    </row>
    <row r="39" spans="1:16">
      <c r="A39" s="150">
        <v>48</v>
      </c>
      <c r="B39" s="150">
        <v>117976</v>
      </c>
      <c r="C39" s="150">
        <v>159276</v>
      </c>
      <c r="D39" s="150">
        <v>217552</v>
      </c>
      <c r="E39" s="150">
        <v>300551</v>
      </c>
      <c r="F39" s="150">
        <v>419408</v>
      </c>
      <c r="G39" s="150">
        <v>588892</v>
      </c>
      <c r="H39" s="150">
        <v>831280</v>
      </c>
      <c r="J39" s="160">
        <f t="shared" si="1"/>
        <v>2.7066820117836517E-2</v>
      </c>
      <c r="K39" s="160">
        <f t="shared" si="1"/>
        <v>3.7139549299720666E-2</v>
      </c>
      <c r="L39" s="160">
        <f t="shared" si="1"/>
        <v>4.7065455353106987E-2</v>
      </c>
      <c r="M39" s="160">
        <f t="shared" si="1"/>
        <v>5.6897071784839631E-2</v>
      </c>
      <c r="N39" s="160">
        <f t="shared" si="1"/>
        <v>6.6647198772842697E-2</v>
      </c>
      <c r="O39" s="160">
        <f t="shared" si="1"/>
        <v>7.6253891121266945E-2</v>
      </c>
      <c r="P39" s="160">
        <f t="shared" si="1"/>
        <v>8.5740514681527241E-2</v>
      </c>
    </row>
    <row r="40" spans="1:16">
      <c r="A40" s="150">
        <v>49</v>
      </c>
      <c r="B40" s="150">
        <v>122937</v>
      </c>
      <c r="C40" s="150">
        <v>167206</v>
      </c>
      <c r="D40" s="150">
        <v>230297</v>
      </c>
      <c r="E40" s="150">
        <v>320933</v>
      </c>
      <c r="F40" s="150">
        <v>451641</v>
      </c>
      <c r="G40" s="150">
        <v>639632</v>
      </c>
      <c r="H40" s="150">
        <v>910808</v>
      </c>
      <c r="J40" s="160">
        <f t="shared" si="1"/>
        <v>2.7207755457768708E-2</v>
      </c>
      <c r="K40" s="160">
        <f t="shared" si="1"/>
        <v>3.7271605371376998E-2</v>
      </c>
      <c r="L40" s="160">
        <f t="shared" si="1"/>
        <v>4.7204696368317575E-2</v>
      </c>
      <c r="M40" s="160">
        <f t="shared" si="1"/>
        <v>5.7041955909251527E-2</v>
      </c>
      <c r="N40" s="160">
        <f t="shared" ref="N40:P51" si="2">RATE($A40*12,-100,0,F40)*12</f>
        <v>6.6782378186540065E-2</v>
      </c>
      <c r="O40" s="160">
        <f t="shared" si="2"/>
        <v>7.6381204946470466E-2</v>
      </c>
      <c r="P40" s="160">
        <f t="shared" si="2"/>
        <v>8.5861111226300801E-2</v>
      </c>
    </row>
    <row r="41" spans="1:16">
      <c r="A41" s="150">
        <v>50</v>
      </c>
      <c r="B41" s="150">
        <v>128060</v>
      </c>
      <c r="C41" s="150">
        <v>175477</v>
      </c>
      <c r="D41" s="150">
        <v>243725</v>
      </c>
      <c r="E41" s="150">
        <v>342621</v>
      </c>
      <c r="F41" s="150">
        <v>486264</v>
      </c>
      <c r="G41" s="150">
        <v>694645</v>
      </c>
      <c r="H41" s="150">
        <v>997834</v>
      </c>
      <c r="J41" s="160">
        <f t="shared" ref="J41:M51" si="3">RATE($A41*12,-100,0,B41)*12</f>
        <v>2.7341885227320454E-2</v>
      </c>
      <c r="K41" s="160">
        <f t="shared" si="3"/>
        <v>3.7397602974335781E-2</v>
      </c>
      <c r="L41" s="160">
        <f t="shared" si="3"/>
        <v>4.7337396973630846E-2</v>
      </c>
      <c r="M41" s="160">
        <f t="shared" si="3"/>
        <v>5.7179758396987718E-2</v>
      </c>
      <c r="N41" s="160">
        <f t="shared" si="2"/>
        <v>6.6910967545654676E-2</v>
      </c>
      <c r="O41" s="160">
        <f t="shared" si="2"/>
        <v>7.650232972248576E-2</v>
      </c>
      <c r="P41" s="160">
        <f t="shared" si="2"/>
        <v>8.5975884975162384E-2</v>
      </c>
    </row>
    <row r="42" spans="1:16">
      <c r="A42" s="150">
        <v>51</v>
      </c>
      <c r="B42" s="150">
        <v>133354</v>
      </c>
      <c r="C42" s="150">
        <v>184105</v>
      </c>
      <c r="D42" s="150">
        <v>257875</v>
      </c>
      <c r="E42" s="150">
        <v>365707</v>
      </c>
      <c r="F42" s="150">
        <v>523466</v>
      </c>
      <c r="G42" s="150">
        <v>754307</v>
      </c>
      <c r="H42" s="150">
        <v>1093087</v>
      </c>
      <c r="J42" s="160">
        <f t="shared" si="3"/>
        <v>2.747056489213081E-2</v>
      </c>
      <c r="K42" s="160">
        <f t="shared" si="3"/>
        <v>3.7518151727238935E-2</v>
      </c>
      <c r="L42" s="160">
        <f t="shared" si="3"/>
        <v>4.746425354736826E-2</v>
      </c>
      <c r="M42" s="160">
        <f t="shared" si="3"/>
        <v>5.7311590683429198E-2</v>
      </c>
      <c r="N42" s="160">
        <f t="shared" si="2"/>
        <v>6.7034016744736538E-2</v>
      </c>
      <c r="O42" s="160">
        <f t="shared" si="2"/>
        <v>7.6618242428968322E-2</v>
      </c>
      <c r="P42" s="160">
        <f t="shared" si="2"/>
        <v>8.6085742436813745E-2</v>
      </c>
    </row>
    <row r="43" spans="1:16">
      <c r="A43" s="150">
        <v>52</v>
      </c>
      <c r="B43" s="150">
        <v>138822</v>
      </c>
      <c r="C43" s="150">
        <v>193105</v>
      </c>
      <c r="D43" s="150">
        <v>272784</v>
      </c>
      <c r="E43" s="150">
        <v>390273</v>
      </c>
      <c r="F43" s="150">
        <v>563428</v>
      </c>
      <c r="G43" s="150">
        <v>818993</v>
      </c>
      <c r="H43" s="150">
        <v>1197318</v>
      </c>
      <c r="J43" s="160">
        <f t="shared" si="3"/>
        <v>2.7593494746262076E-2</v>
      </c>
      <c r="K43" s="160">
        <f t="shared" si="3"/>
        <v>3.7633518436810648E-2</v>
      </c>
      <c r="L43" s="160">
        <f t="shared" si="3"/>
        <v>4.7585435321495506E-2</v>
      </c>
      <c r="M43" s="160">
        <f t="shared" si="3"/>
        <v>5.7437246635920022E-2</v>
      </c>
      <c r="N43" s="160">
        <f t="shared" si="2"/>
        <v>6.7151337251345714E-2</v>
      </c>
      <c r="O43" s="160">
        <f t="shared" si="2"/>
        <v>7.6728695033334141E-2</v>
      </c>
      <c r="P43" s="160">
        <f t="shared" si="2"/>
        <v>8.6190416539489792E-2</v>
      </c>
    </row>
    <row r="44" spans="1:16">
      <c r="A44" s="150">
        <v>53</v>
      </c>
      <c r="B44" s="150">
        <v>144472</v>
      </c>
      <c r="C44" s="150">
        <v>202518</v>
      </c>
      <c r="D44" s="150">
        <v>288494</v>
      </c>
      <c r="E44" s="150">
        <v>416420</v>
      </c>
      <c r="F44" s="150">
        <v>606361</v>
      </c>
      <c r="G44" s="150">
        <v>889140</v>
      </c>
      <c r="H44" s="150">
        <v>1311396</v>
      </c>
      <c r="J44" s="160">
        <f t="shared" si="3"/>
        <v>2.771152140944786E-2</v>
      </c>
      <c r="K44" s="160">
        <f t="shared" si="3"/>
        <v>3.7747573604161228E-2</v>
      </c>
      <c r="L44" s="160">
        <f t="shared" si="3"/>
        <v>4.7701418485130084E-2</v>
      </c>
      <c r="M44" s="160">
        <f t="shared" si="3"/>
        <v>5.7557517473163858E-2</v>
      </c>
      <c r="N44" s="160">
        <f t="shared" si="2"/>
        <v>6.726356403156783E-2</v>
      </c>
      <c r="O44" s="160">
        <f t="shared" si="2"/>
        <v>7.6834437570186376E-2</v>
      </c>
      <c r="P44" s="160">
        <f t="shared" si="2"/>
        <v>8.62906738675948E-2</v>
      </c>
    </row>
    <row r="45" spans="1:16">
      <c r="A45" s="150">
        <v>54</v>
      </c>
      <c r="B45" s="150">
        <v>150307</v>
      </c>
      <c r="C45" s="150">
        <v>212417</v>
      </c>
      <c r="D45" s="150">
        <v>305082</v>
      </c>
      <c r="E45" s="150">
        <v>444242</v>
      </c>
      <c r="F45" s="150">
        <v>652479</v>
      </c>
      <c r="G45" s="150">
        <v>965193</v>
      </c>
      <c r="H45" s="150">
        <v>1436223</v>
      </c>
      <c r="J45" s="160">
        <f t="shared" si="3"/>
        <v>2.7824311360507871E-2</v>
      </c>
      <c r="K45" s="160">
        <f t="shared" si="3"/>
        <v>3.7867350018306926E-2</v>
      </c>
      <c r="L45" s="160">
        <f t="shared" si="3"/>
        <v>4.7815497937938684E-2</v>
      </c>
      <c r="M45" s="160">
        <f t="shared" si="3"/>
        <v>5.7672273477670795E-2</v>
      </c>
      <c r="N45" s="160">
        <f t="shared" si="2"/>
        <v>6.7370741416751437E-2</v>
      </c>
      <c r="O45" s="160">
        <f t="shared" si="2"/>
        <v>7.6935345627359847E-2</v>
      </c>
      <c r="P45" s="160">
        <f t="shared" si="2"/>
        <v>8.6386306216195252E-2</v>
      </c>
    </row>
    <row r="46" spans="1:16">
      <c r="A46" s="150">
        <v>55</v>
      </c>
      <c r="B46" s="150">
        <v>156335</v>
      </c>
      <c r="C46" s="150">
        <v>222746</v>
      </c>
      <c r="D46" s="150">
        <v>322682</v>
      </c>
      <c r="E46" s="150">
        <v>473829</v>
      </c>
      <c r="F46" s="150">
        <v>702014</v>
      </c>
      <c r="G46" s="150">
        <v>1047649</v>
      </c>
      <c r="H46" s="150">
        <v>1572812</v>
      </c>
      <c r="J46" s="160">
        <f t="shared" si="3"/>
        <v>2.7932555632657723E-2</v>
      </c>
      <c r="K46" s="160">
        <f t="shared" si="3"/>
        <v>3.7981880778992165E-2</v>
      </c>
      <c r="L46" s="160">
        <f t="shared" si="3"/>
        <v>4.7934480164673499E-2</v>
      </c>
      <c r="M46" s="160">
        <f t="shared" si="3"/>
        <v>5.7780952550370315E-2</v>
      </c>
      <c r="N46" s="160">
        <f t="shared" si="2"/>
        <v>6.7473040974097911E-2</v>
      </c>
      <c r="O46" s="160">
        <f t="shared" si="2"/>
        <v>7.7031727686450696E-2</v>
      </c>
      <c r="P46" s="160">
        <f t="shared" si="2"/>
        <v>8.6477623343828858E-2</v>
      </c>
    </row>
    <row r="47" spans="1:16">
      <c r="A47" s="150">
        <v>56</v>
      </c>
      <c r="B47" s="150">
        <v>162562</v>
      </c>
      <c r="C47" s="150">
        <v>233527</v>
      </c>
      <c r="D47" s="150">
        <v>341239</v>
      </c>
      <c r="E47" s="150">
        <v>505342</v>
      </c>
      <c r="F47" s="150">
        <v>755241</v>
      </c>
      <c r="G47" s="150">
        <v>1137077</v>
      </c>
      <c r="H47" s="150">
        <v>1722322</v>
      </c>
      <c r="J47" s="160">
        <f t="shared" si="3"/>
        <v>2.8036445418064247E-2</v>
      </c>
      <c r="K47" s="160">
        <f t="shared" si="3"/>
        <v>3.8091870962481671E-2</v>
      </c>
      <c r="L47" s="160">
        <f t="shared" si="3"/>
        <v>4.8048715349156487E-2</v>
      </c>
      <c r="M47" s="160">
        <f t="shared" si="3"/>
        <v>5.7886383941890829E-2</v>
      </c>
      <c r="N47" s="160">
        <f t="shared" si="2"/>
        <v>6.7571461784123751E-2</v>
      </c>
      <c r="O47" s="160">
        <f t="shared" si="2"/>
        <v>7.712447861340356E-2</v>
      </c>
      <c r="P47" s="160">
        <f t="shared" si="2"/>
        <v>8.656556768520203E-2</v>
      </c>
    </row>
    <row r="48" spans="1:16">
      <c r="A48" s="150">
        <v>57</v>
      </c>
      <c r="B48" s="150">
        <v>168996</v>
      </c>
      <c r="C48" s="150">
        <v>244779</v>
      </c>
      <c r="D48" s="150">
        <v>360802</v>
      </c>
      <c r="E48" s="150">
        <v>538879</v>
      </c>
      <c r="F48" s="150">
        <v>812422</v>
      </c>
      <c r="G48" s="150">
        <v>1234046</v>
      </c>
      <c r="H48" s="150">
        <v>1885942</v>
      </c>
      <c r="J48" s="160">
        <f t="shared" si="3"/>
        <v>2.8136465402871784E-2</v>
      </c>
      <c r="K48" s="160">
        <f t="shared" si="3"/>
        <v>3.8197487388011826E-2</v>
      </c>
      <c r="L48" s="160">
        <f t="shared" si="3"/>
        <v>4.8158254051708566E-2</v>
      </c>
      <c r="M48" s="160">
        <f t="shared" si="3"/>
        <v>5.7987444043135425E-2</v>
      </c>
      <c r="N48" s="160">
        <f t="shared" si="2"/>
        <v>6.7665822626116326E-2</v>
      </c>
      <c r="O48" s="160">
        <f t="shared" si="2"/>
        <v>7.7213402709881002E-2</v>
      </c>
      <c r="P48" s="160">
        <f t="shared" si="2"/>
        <v>8.6649908993840646E-2</v>
      </c>
    </row>
    <row r="49" spans="1:16">
      <c r="A49" s="150">
        <v>58</v>
      </c>
      <c r="B49" s="150">
        <v>175641</v>
      </c>
      <c r="C49" s="150">
        <v>256520</v>
      </c>
      <c r="D49" s="150">
        <v>381422</v>
      </c>
      <c r="E49" s="150">
        <v>574569</v>
      </c>
      <c r="F49" s="150">
        <v>873847</v>
      </c>
      <c r="G49" s="150">
        <v>1339186</v>
      </c>
      <c r="H49" s="150">
        <v>2064993</v>
      </c>
      <c r="J49" s="160">
        <f t="shared" si="3"/>
        <v>2.823236817069702E-2</v>
      </c>
      <c r="K49" s="160">
        <f t="shared" si="3"/>
        <v>3.8298713761897488E-2</v>
      </c>
      <c r="L49" s="160">
        <f t="shared" si="3"/>
        <v>4.8263138146341429E-2</v>
      </c>
      <c r="M49" s="160">
        <f t="shared" si="3"/>
        <v>5.8084344973945323E-2</v>
      </c>
      <c r="N49" s="160">
        <f t="shared" si="2"/>
        <v>6.7756260720920988E-2</v>
      </c>
      <c r="O49" s="160">
        <f t="shared" si="2"/>
        <v>7.7298624622477372E-2</v>
      </c>
      <c r="P49" s="160">
        <f t="shared" si="2"/>
        <v>8.6730744335868554E-2</v>
      </c>
    </row>
    <row r="50" spans="1:16">
      <c r="A50" s="150">
        <v>59</v>
      </c>
      <c r="B50" s="150">
        <v>182504</v>
      </c>
      <c r="C50" s="150">
        <v>268772</v>
      </c>
      <c r="D50" s="150">
        <v>403159</v>
      </c>
      <c r="E50" s="150">
        <v>612547</v>
      </c>
      <c r="F50" s="150">
        <v>939828</v>
      </c>
      <c r="G50" s="150">
        <v>1453183</v>
      </c>
      <c r="H50" s="150">
        <v>2260922</v>
      </c>
      <c r="J50" s="160">
        <f t="shared" si="3"/>
        <v>2.8324404254230433E-2</v>
      </c>
      <c r="K50" s="160">
        <f t="shared" si="3"/>
        <v>3.8395876002278478E-2</v>
      </c>
      <c r="L50" s="160">
        <f t="shared" si="3"/>
        <v>4.8363816629337579E-2</v>
      </c>
      <c r="M50" s="160">
        <f t="shared" si="3"/>
        <v>5.8177205460935695E-2</v>
      </c>
      <c r="N50" s="160">
        <f t="shared" si="2"/>
        <v>6.784293523007151E-2</v>
      </c>
      <c r="O50" s="160">
        <f t="shared" si="2"/>
        <v>7.7380325994206245E-2</v>
      </c>
      <c r="P50" s="160">
        <f t="shared" si="2"/>
        <v>8.6808205455998461E-2</v>
      </c>
    </row>
    <row r="51" spans="1:16" ht="13.5" thickBot="1">
      <c r="A51" s="150">
        <v>60</v>
      </c>
      <c r="B51" s="150">
        <v>189593</v>
      </c>
      <c r="C51" s="150">
        <v>281556</v>
      </c>
      <c r="D51" s="150">
        <v>426070</v>
      </c>
      <c r="E51" s="150">
        <v>652959</v>
      </c>
      <c r="F51" s="150">
        <v>1010700</v>
      </c>
      <c r="G51" s="150">
        <v>1576772</v>
      </c>
      <c r="H51" s="150">
        <v>2475312</v>
      </c>
      <c r="J51" s="160">
        <f t="shared" si="3"/>
        <v>2.8412911011243647E-2</v>
      </c>
      <c r="K51" s="160">
        <f t="shared" si="3"/>
        <v>3.8489093713918746E-2</v>
      </c>
      <c r="L51" s="160">
        <f t="shared" si="3"/>
        <v>4.8460331560495354E-2</v>
      </c>
      <c r="M51" s="160">
        <f t="shared" si="3"/>
        <v>5.8266239362372005E-2</v>
      </c>
      <c r="N51" s="160">
        <f t="shared" si="2"/>
        <v>6.7926005318345944E-2</v>
      </c>
      <c r="O51" s="160">
        <f t="shared" si="2"/>
        <v>7.745856559713532E-2</v>
      </c>
      <c r="P51" s="160">
        <f t="shared" si="2"/>
        <v>8.6882430245856707E-2</v>
      </c>
    </row>
    <row r="52" spans="1:16" s="153" customFormat="1">
      <c r="I52" s="162" t="s">
        <v>0</v>
      </c>
    </row>
    <row r="53" spans="1:16" s="153" customFormat="1" ht="13.5" thickBot="1">
      <c r="I53" s="163">
        <f>SUM(J53:P53)</f>
        <v>4.9121750881220436E-2</v>
      </c>
      <c r="J53" s="160">
        <f>IF(Hilfe!$E$3='FSX (Einzel)'!J2,VLOOKUP(Hilfe!$B$54,$A$3:$P$51,10),0)</f>
        <v>0</v>
      </c>
      <c r="K53" s="160">
        <f>IF(Hilfe!$E$3='FSX (Einzel)'!K2,VLOOKUP(Hilfe!$B$54,$A$3:$P$51,11),0)</f>
        <v>0</v>
      </c>
      <c r="L53" s="160">
        <f>IF(Hilfe!$E$3='FSX (Einzel)'!L2,VLOOKUP(Hilfe!$B$54,$A$3:$P$51,12),0)</f>
        <v>0</v>
      </c>
      <c r="M53" s="160">
        <f>IF(Hilfe!$E$3='FSX (Einzel)'!M2,VLOOKUP(Hilfe!$B$54,$A$3:$P$51,13),0)</f>
        <v>4.9121750881220436E-2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dimension ref="A1:P53"/>
  <sheetViews>
    <sheetView workbookViewId="0">
      <selection activeCell="J3" sqref="J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130</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9">
        <v>131901</v>
      </c>
      <c r="C3" s="159">
        <v>148195</v>
      </c>
      <c r="D3" s="159">
        <v>166288</v>
      </c>
      <c r="E3" s="159">
        <v>186376</v>
      </c>
      <c r="F3" s="159">
        <v>208717</v>
      </c>
      <c r="G3" s="159">
        <v>233586</v>
      </c>
      <c r="H3" s="159">
        <v>261081</v>
      </c>
      <c r="J3" s="160">
        <f>(B3/100000)^(1/$A3)-1</f>
        <v>2.3341705942844237E-2</v>
      </c>
      <c r="K3" s="160">
        <f t="shared" ref="K3:P3" si="0">(C3/100000)^(1/$A3)-1</f>
        <v>3.3323078776865689E-2</v>
      </c>
      <c r="L3" s="160">
        <f t="shared" si="0"/>
        <v>4.3290074869706263E-2</v>
      </c>
      <c r="M3" s="160">
        <f t="shared" si="0"/>
        <v>5.3252500601474351E-2</v>
      </c>
      <c r="N3" s="160">
        <f t="shared" si="0"/>
        <v>6.323635678203865E-2</v>
      </c>
      <c r="O3" s="160">
        <f t="shared" si="0"/>
        <v>7.3257422818784779E-2</v>
      </c>
      <c r="P3" s="160">
        <f t="shared" si="0"/>
        <v>8.3256421738129083E-2</v>
      </c>
    </row>
    <row r="4" spans="1:16">
      <c r="A4" s="150">
        <v>13</v>
      </c>
      <c r="B4" s="159">
        <v>135821</v>
      </c>
      <c r="C4" s="159">
        <v>154086</v>
      </c>
      <c r="D4" s="159">
        <v>174565</v>
      </c>
      <c r="E4" s="159">
        <v>197521</v>
      </c>
      <c r="F4" s="159">
        <v>223402</v>
      </c>
      <c r="G4" s="159">
        <v>252361</v>
      </c>
      <c r="H4" s="159">
        <v>284683</v>
      </c>
      <c r="J4" s="160">
        <f t="shared" ref="J4:J51" si="1">(B4/100000)^(1/$A4)-1</f>
        <v>2.3830881488381417E-2</v>
      </c>
      <c r="K4" s="160">
        <f t="shared" ref="K4:K51" si="2">(C4/100000)^(1/$A4)-1</f>
        <v>3.3816172176084125E-2</v>
      </c>
      <c r="L4" s="160">
        <f t="shared" ref="L4:L51" si="3">(D4/100000)^(1/$A4)-1</f>
        <v>4.3787496649980717E-2</v>
      </c>
      <c r="M4" s="160">
        <f t="shared" ref="M4:M51" si="4">(E4/100000)^(1/$A4)-1</f>
        <v>5.3754598208117121E-2</v>
      </c>
      <c r="N4" s="160">
        <f t="shared" ref="N4:N51" si="5">(F4/100000)^(1/$A4)-1</f>
        <v>6.3782521902985057E-2</v>
      </c>
      <c r="O4" s="160">
        <f t="shared" ref="O4:O51" si="6">(G4/100000)^(1/$A4)-1</f>
        <v>7.3803431954327481E-2</v>
      </c>
      <c r="P4" s="160">
        <f t="shared" ref="P4:P51" si="7">(H4/100000)^(1/$A4)-1</f>
        <v>8.3804343594577446E-2</v>
      </c>
    </row>
    <row r="5" spans="1:16">
      <c r="A5" s="150">
        <v>14</v>
      </c>
      <c r="B5" s="159">
        <v>139859</v>
      </c>
      <c r="C5" s="159">
        <v>160213</v>
      </c>
      <c r="D5" s="159">
        <v>183257</v>
      </c>
      <c r="E5" s="159">
        <v>209414</v>
      </c>
      <c r="F5" s="159">
        <v>239122</v>
      </c>
      <c r="G5" s="159">
        <v>272649</v>
      </c>
      <c r="H5" s="159">
        <v>310473</v>
      </c>
      <c r="J5" s="160">
        <f t="shared" si="1"/>
        <v>2.4251145845731514E-2</v>
      </c>
      <c r="K5" s="160">
        <f t="shared" si="2"/>
        <v>3.4239851463297999E-2</v>
      </c>
      <c r="L5" s="160">
        <f t="shared" si="3"/>
        <v>4.4215272678606921E-2</v>
      </c>
      <c r="M5" s="160">
        <f t="shared" si="4"/>
        <v>5.4214485692789305E-2</v>
      </c>
      <c r="N5" s="160">
        <f t="shared" si="5"/>
        <v>6.4251454662608287E-2</v>
      </c>
      <c r="O5" s="160">
        <f t="shared" si="6"/>
        <v>7.4272763310917034E-2</v>
      </c>
      <c r="P5" s="160">
        <f t="shared" si="7"/>
        <v>8.4287771499204078E-2</v>
      </c>
    </row>
    <row r="6" spans="1:16">
      <c r="A6" s="150">
        <v>15</v>
      </c>
      <c r="B6" s="159">
        <v>144018</v>
      </c>
      <c r="C6" s="159">
        <v>166584</v>
      </c>
      <c r="D6" s="159">
        <v>192382</v>
      </c>
      <c r="E6" s="159">
        <v>222052</v>
      </c>
      <c r="F6" s="159">
        <v>255951</v>
      </c>
      <c r="G6" s="159">
        <v>294570</v>
      </c>
      <c r="H6" s="159">
        <v>338716</v>
      </c>
      <c r="J6" s="160">
        <f t="shared" si="1"/>
        <v>2.4615964617220598E-2</v>
      </c>
      <c r="K6" s="160">
        <f t="shared" si="2"/>
        <v>3.4607333402400631E-2</v>
      </c>
      <c r="L6" s="160">
        <f t="shared" si="3"/>
        <v>4.4586227908371079E-2</v>
      </c>
      <c r="M6" s="160">
        <f t="shared" si="4"/>
        <v>5.4622370481107296E-2</v>
      </c>
      <c r="N6" s="160">
        <f t="shared" si="5"/>
        <v>6.4658817763568077E-2</v>
      </c>
      <c r="O6" s="160">
        <f t="shared" si="6"/>
        <v>7.4680167446137036E-2</v>
      </c>
      <c r="P6" s="160">
        <f t="shared" si="7"/>
        <v>8.4731821674618457E-2</v>
      </c>
    </row>
    <row r="7" spans="1:16">
      <c r="A7" s="150">
        <v>16</v>
      </c>
      <c r="B7" s="159">
        <v>148301</v>
      </c>
      <c r="C7" s="159">
        <v>173210</v>
      </c>
      <c r="D7" s="159">
        <v>201981</v>
      </c>
      <c r="E7" s="159">
        <v>235455</v>
      </c>
      <c r="F7" s="159">
        <v>273966</v>
      </c>
      <c r="G7" s="159">
        <v>318376</v>
      </c>
      <c r="H7" s="159">
        <v>369532</v>
      </c>
      <c r="J7" s="160">
        <f t="shared" si="1"/>
        <v>2.4935427339977778E-2</v>
      </c>
      <c r="K7" s="160">
        <f t="shared" si="2"/>
        <v>3.4929604133911774E-2</v>
      </c>
      <c r="L7" s="160">
        <f t="shared" si="3"/>
        <v>4.4917270684636579E-2</v>
      </c>
      <c r="M7" s="160">
        <f t="shared" si="4"/>
        <v>5.4980044570884345E-2</v>
      </c>
      <c r="N7" s="160">
        <f t="shared" si="5"/>
        <v>6.5015777993829404E-2</v>
      </c>
      <c r="O7" s="160">
        <f t="shared" si="6"/>
        <v>7.506264093164372E-2</v>
      </c>
      <c r="P7" s="160">
        <f t="shared" si="7"/>
        <v>8.5121212275471203E-2</v>
      </c>
    </row>
    <row r="8" spans="1:16">
      <c r="A8" s="150">
        <v>17</v>
      </c>
      <c r="B8" s="159">
        <v>152713</v>
      </c>
      <c r="C8" s="159">
        <v>180101</v>
      </c>
      <c r="D8" s="159">
        <v>212148</v>
      </c>
      <c r="E8" s="159">
        <v>249670</v>
      </c>
      <c r="F8" s="159">
        <v>293253</v>
      </c>
      <c r="G8" s="159">
        <v>344152</v>
      </c>
      <c r="H8" s="159">
        <v>403155</v>
      </c>
      <c r="J8" s="160">
        <f t="shared" si="1"/>
        <v>2.5218031209159442E-2</v>
      </c>
      <c r="K8" s="160">
        <f t="shared" si="2"/>
        <v>3.5214532949196631E-2</v>
      </c>
      <c r="L8" s="160">
        <f t="shared" si="3"/>
        <v>4.5235268657531025E-2</v>
      </c>
      <c r="M8" s="160">
        <f t="shared" si="4"/>
        <v>5.5296485614338531E-2</v>
      </c>
      <c r="N8" s="160">
        <f t="shared" si="5"/>
        <v>6.5331701786708329E-2</v>
      </c>
      <c r="O8" s="160">
        <f t="shared" si="6"/>
        <v>7.5408703346756534E-2</v>
      </c>
      <c r="P8" s="160">
        <f t="shared" si="7"/>
        <v>8.5465445999739487E-2</v>
      </c>
    </row>
    <row r="9" spans="1:16">
      <c r="A9" s="150">
        <v>18</v>
      </c>
      <c r="B9" s="159">
        <v>157257</v>
      </c>
      <c r="C9" s="159">
        <v>187268</v>
      </c>
      <c r="D9" s="159">
        <v>222830</v>
      </c>
      <c r="E9" s="159">
        <v>264745</v>
      </c>
      <c r="F9" s="159">
        <v>313991</v>
      </c>
      <c r="G9" s="159">
        <v>372018</v>
      </c>
      <c r="H9" s="159">
        <v>439840</v>
      </c>
      <c r="J9" s="160">
        <f t="shared" si="1"/>
        <v>2.5469568748122118E-2</v>
      </c>
      <c r="K9" s="160">
        <f t="shared" si="2"/>
        <v>3.546843651946352E-2</v>
      </c>
      <c r="L9" s="160">
        <f t="shared" si="3"/>
        <v>4.5518856631059146E-2</v>
      </c>
      <c r="M9" s="160">
        <f t="shared" si="4"/>
        <v>5.5578246121867014E-2</v>
      </c>
      <c r="N9" s="160">
        <f t="shared" si="5"/>
        <v>6.563017837426588E-2</v>
      </c>
      <c r="O9" s="160">
        <f t="shared" si="6"/>
        <v>7.5716914320639539E-2</v>
      </c>
      <c r="P9" s="160">
        <f t="shared" si="7"/>
        <v>8.5771894649299574E-2</v>
      </c>
    </row>
    <row r="10" spans="1:16">
      <c r="A10" s="150">
        <v>19</v>
      </c>
      <c r="B10" s="159">
        <v>161938</v>
      </c>
      <c r="C10" s="159">
        <v>194721</v>
      </c>
      <c r="D10" s="159">
        <v>234050</v>
      </c>
      <c r="E10" s="159">
        <v>280732</v>
      </c>
      <c r="F10" s="159">
        <v>336268</v>
      </c>
      <c r="G10" s="159">
        <v>402143</v>
      </c>
      <c r="H10" s="159">
        <v>479866</v>
      </c>
      <c r="J10" s="160">
        <f t="shared" si="1"/>
        <v>2.5695278532762877E-2</v>
      </c>
      <c r="K10" s="160">
        <f t="shared" si="2"/>
        <v>3.5695888452286884E-2</v>
      </c>
      <c r="L10" s="160">
        <f t="shared" si="3"/>
        <v>4.5772692266871973E-2</v>
      </c>
      <c r="M10" s="160">
        <f t="shared" si="4"/>
        <v>5.5830762951265323E-2</v>
      </c>
      <c r="N10" s="160">
        <f t="shared" si="5"/>
        <v>6.5909398673455799E-2</v>
      </c>
      <c r="O10" s="160">
        <f t="shared" si="6"/>
        <v>7.5993135578970028E-2</v>
      </c>
      <c r="P10" s="160">
        <f t="shared" si="7"/>
        <v>8.6046499145712385E-2</v>
      </c>
    </row>
    <row r="11" spans="1:16">
      <c r="A11" s="150">
        <v>20</v>
      </c>
      <c r="B11" s="159">
        <v>166758</v>
      </c>
      <c r="C11" s="159">
        <v>202498</v>
      </c>
      <c r="D11" s="159">
        <v>245838</v>
      </c>
      <c r="E11" s="159">
        <v>297686</v>
      </c>
      <c r="F11" s="159">
        <v>360129</v>
      </c>
      <c r="G11" s="159">
        <v>434711</v>
      </c>
      <c r="H11" s="159">
        <v>523539</v>
      </c>
      <c r="J11" s="160">
        <f t="shared" si="1"/>
        <v>2.5898356070340744E-2</v>
      </c>
      <c r="K11" s="160">
        <f t="shared" si="2"/>
        <v>3.5907641983073502E-2</v>
      </c>
      <c r="L11" s="160">
        <f t="shared" si="3"/>
        <v>4.6001845332538593E-2</v>
      </c>
      <c r="M11" s="160">
        <f t="shared" si="4"/>
        <v>5.6058363989195614E-2</v>
      </c>
      <c r="N11" s="160">
        <f t="shared" si="5"/>
        <v>6.6161276664602253E-2</v>
      </c>
      <c r="O11" s="160">
        <f t="shared" si="6"/>
        <v>7.6242236030371169E-2</v>
      </c>
      <c r="P11" s="160">
        <f t="shared" si="7"/>
        <v>8.6294178043088809E-2</v>
      </c>
    </row>
    <row r="12" spans="1:16">
      <c r="A12" s="150">
        <v>21</v>
      </c>
      <c r="B12" s="159">
        <v>171724</v>
      </c>
      <c r="C12" s="159">
        <v>210665</v>
      </c>
      <c r="D12" s="159">
        <v>258221</v>
      </c>
      <c r="E12" s="159">
        <v>315799</v>
      </c>
      <c r="F12" s="159">
        <v>385685</v>
      </c>
      <c r="G12" s="159">
        <v>469919</v>
      </c>
      <c r="H12" s="159">
        <v>571190</v>
      </c>
      <c r="J12" s="160">
        <f t="shared" si="1"/>
        <v>2.6082848892805544E-2</v>
      </c>
      <c r="K12" s="160">
        <f t="shared" si="2"/>
        <v>3.611786341989065E-2</v>
      </c>
      <c r="L12" s="160">
        <f t="shared" si="3"/>
        <v>4.6209467175178265E-2</v>
      </c>
      <c r="M12" s="160">
        <f t="shared" si="4"/>
        <v>5.6285855557683728E-2</v>
      </c>
      <c r="N12" s="160">
        <f t="shared" si="5"/>
        <v>6.6389463035464225E-2</v>
      </c>
      <c r="O12" s="160">
        <f t="shared" si="6"/>
        <v>7.6467928937110852E-2</v>
      </c>
      <c r="P12" s="160">
        <f t="shared" si="7"/>
        <v>8.6518614640364699E-2</v>
      </c>
    </row>
    <row r="13" spans="1:16">
      <c r="A13" s="150">
        <v>22</v>
      </c>
      <c r="B13" s="159">
        <v>176838</v>
      </c>
      <c r="C13" s="159">
        <v>219164</v>
      </c>
      <c r="D13" s="159">
        <v>271230</v>
      </c>
      <c r="E13" s="159">
        <v>335044</v>
      </c>
      <c r="F13" s="159">
        <v>413057</v>
      </c>
      <c r="G13" s="159">
        <v>507981</v>
      </c>
      <c r="H13" s="159">
        <v>623181</v>
      </c>
      <c r="J13" s="160">
        <f t="shared" si="1"/>
        <v>2.6250628531134579E-2</v>
      </c>
      <c r="K13" s="160">
        <f t="shared" si="2"/>
        <v>3.6309572792195377E-2</v>
      </c>
      <c r="L13" s="160">
        <f t="shared" si="3"/>
        <v>4.63986466047972E-2</v>
      </c>
      <c r="M13" s="160">
        <f t="shared" si="4"/>
        <v>5.6496993919295191E-2</v>
      </c>
      <c r="N13" s="160">
        <f t="shared" si="5"/>
        <v>6.6597236051327169E-2</v>
      </c>
      <c r="O13" s="160">
        <f t="shared" si="6"/>
        <v>7.6673380724855189E-2</v>
      </c>
      <c r="P13" s="160">
        <f t="shared" si="7"/>
        <v>8.6722921530248964E-2</v>
      </c>
    </row>
    <row r="14" spans="1:16">
      <c r="A14" s="150">
        <v>23</v>
      </c>
      <c r="B14" s="159">
        <v>182106</v>
      </c>
      <c r="C14" s="159">
        <v>228007</v>
      </c>
      <c r="D14" s="159">
        <v>284896</v>
      </c>
      <c r="E14" s="159">
        <v>355464</v>
      </c>
      <c r="F14" s="159">
        <v>442375</v>
      </c>
      <c r="G14" s="159">
        <v>549130</v>
      </c>
      <c r="H14" s="159">
        <v>679908</v>
      </c>
      <c r="J14" s="160">
        <f t="shared" si="1"/>
        <v>2.6404260005647995E-2</v>
      </c>
      <c r="K14" s="160">
        <f t="shared" si="2"/>
        <v>3.6484863952050084E-2</v>
      </c>
      <c r="L14" s="160">
        <f t="shared" si="3"/>
        <v>4.6571663525514673E-2</v>
      </c>
      <c r="M14" s="160">
        <f t="shared" si="4"/>
        <v>5.6690093236450245E-2</v>
      </c>
      <c r="N14" s="160">
        <f t="shared" si="5"/>
        <v>6.6787335126967218E-2</v>
      </c>
      <c r="O14" s="160">
        <f t="shared" si="6"/>
        <v>7.6861350497362091E-2</v>
      </c>
      <c r="P14" s="160">
        <f t="shared" si="7"/>
        <v>8.6909750690280063E-2</v>
      </c>
    </row>
    <row r="15" spans="1:16">
      <c r="A15" s="150">
        <v>24</v>
      </c>
      <c r="B15" s="159">
        <v>187531</v>
      </c>
      <c r="C15" s="159">
        <v>237208</v>
      </c>
      <c r="D15" s="159">
        <v>299252</v>
      </c>
      <c r="E15" s="159">
        <v>377130</v>
      </c>
      <c r="F15" s="159">
        <v>473777</v>
      </c>
      <c r="G15" s="159">
        <v>593616</v>
      </c>
      <c r="H15" s="159">
        <v>741803</v>
      </c>
      <c r="J15" s="160">
        <f t="shared" si="1"/>
        <v>2.6545124205777704E-2</v>
      </c>
      <c r="K15" s="160">
        <f t="shared" si="2"/>
        <v>3.6645791296731511E-2</v>
      </c>
      <c r="L15" s="160">
        <f t="shared" si="3"/>
        <v>4.6730496603251792E-2</v>
      </c>
      <c r="M15" s="160">
        <f t="shared" si="4"/>
        <v>5.6867302169310685E-2</v>
      </c>
      <c r="N15" s="160">
        <f t="shared" si="5"/>
        <v>6.6961909900162153E-2</v>
      </c>
      <c r="O15" s="160">
        <f t="shared" si="6"/>
        <v>7.703396658006878E-2</v>
      </c>
      <c r="P15" s="160">
        <f t="shared" si="7"/>
        <v>8.7081298317928546E-2</v>
      </c>
    </row>
    <row r="16" spans="1:16">
      <c r="A16" s="150">
        <v>25</v>
      </c>
      <c r="B16" s="159">
        <v>193120</v>
      </c>
      <c r="C16" s="159">
        <v>246782</v>
      </c>
      <c r="D16" s="159">
        <v>314478</v>
      </c>
      <c r="E16" s="159">
        <v>400120</v>
      </c>
      <c r="F16" s="159">
        <v>507410</v>
      </c>
      <c r="G16" s="159">
        <v>641708</v>
      </c>
      <c r="H16" s="159">
        <v>809336</v>
      </c>
      <c r="J16" s="160">
        <f t="shared" si="1"/>
        <v>2.6675244027223544E-2</v>
      </c>
      <c r="K16" s="160">
        <f t="shared" si="2"/>
        <v>3.6794152648504275E-2</v>
      </c>
      <c r="L16" s="160">
        <f t="shared" si="3"/>
        <v>4.6896169476167149E-2</v>
      </c>
      <c r="M16" s="160">
        <f t="shared" si="4"/>
        <v>5.7030722951697754E-2</v>
      </c>
      <c r="N16" s="160">
        <f t="shared" si="5"/>
        <v>6.7122706135811727E-2</v>
      </c>
      <c r="O16" s="160">
        <f t="shared" si="6"/>
        <v>7.7192939480960066E-2</v>
      </c>
      <c r="P16" s="160">
        <f t="shared" si="7"/>
        <v>8.7239330216642097E-2</v>
      </c>
    </row>
    <row r="17" spans="1:16">
      <c r="A17" s="150">
        <v>26</v>
      </c>
      <c r="B17" s="159">
        <v>198876</v>
      </c>
      <c r="C17" s="159">
        <v>256744</v>
      </c>
      <c r="D17" s="159">
        <v>330495</v>
      </c>
      <c r="E17" s="159">
        <v>424514</v>
      </c>
      <c r="F17" s="159">
        <v>543434</v>
      </c>
      <c r="G17" s="159">
        <v>693699</v>
      </c>
      <c r="H17" s="159">
        <v>883020</v>
      </c>
      <c r="J17" s="160">
        <f t="shared" si="1"/>
        <v>2.6795454783311579E-2</v>
      </c>
      <c r="K17" s="160">
        <f t="shared" si="2"/>
        <v>3.6931366156107037E-2</v>
      </c>
      <c r="L17" s="160">
        <f t="shared" si="3"/>
        <v>4.7051107552176896E-2</v>
      </c>
      <c r="M17" s="160">
        <f t="shared" si="4"/>
        <v>5.7181836717875134E-2</v>
      </c>
      <c r="N17" s="160">
        <f t="shared" si="5"/>
        <v>6.7271413559968796E-2</v>
      </c>
      <c r="O17" s="160">
        <f t="shared" si="6"/>
        <v>7.7339872397631293E-2</v>
      </c>
      <c r="P17" s="160">
        <f t="shared" si="7"/>
        <v>8.738536183106782E-2</v>
      </c>
    </row>
    <row r="18" spans="1:16">
      <c r="A18" s="150">
        <v>27</v>
      </c>
      <c r="B18" s="159">
        <v>204882</v>
      </c>
      <c r="C18" s="159">
        <v>267110</v>
      </c>
      <c r="D18" s="159">
        <v>347329</v>
      </c>
      <c r="E18" s="159">
        <v>450397</v>
      </c>
      <c r="F18" s="159">
        <v>582018</v>
      </c>
      <c r="G18" s="159">
        <v>749907</v>
      </c>
      <c r="H18" s="159">
        <v>963416</v>
      </c>
      <c r="J18" s="160">
        <f t="shared" si="1"/>
        <v>2.692133793604734E-2</v>
      </c>
      <c r="K18" s="160">
        <f t="shared" si="2"/>
        <v>3.7058699045570354E-2</v>
      </c>
      <c r="L18" s="160">
        <f t="shared" si="3"/>
        <v>4.7194725616169331E-2</v>
      </c>
      <c r="M18" s="160">
        <f t="shared" si="4"/>
        <v>5.7321930730255488E-2</v>
      </c>
      <c r="N18" s="160">
        <f t="shared" si="5"/>
        <v>6.7409290228360508E-2</v>
      </c>
      <c r="O18" s="160">
        <f t="shared" si="6"/>
        <v>7.7476189586989319E-2</v>
      </c>
      <c r="P18" s="160">
        <f t="shared" si="7"/>
        <v>8.7520745204411332E-2</v>
      </c>
    </row>
    <row r="19" spans="1:16">
      <c r="A19" s="150">
        <v>28</v>
      </c>
      <c r="B19" s="159">
        <v>211097</v>
      </c>
      <c r="C19" s="159">
        <v>277896</v>
      </c>
      <c r="D19" s="159">
        <v>365023</v>
      </c>
      <c r="E19" s="159">
        <v>477860</v>
      </c>
      <c r="F19" s="159">
        <v>623344</v>
      </c>
      <c r="G19" s="159">
        <v>810671</v>
      </c>
      <c r="H19" s="159">
        <v>1051136</v>
      </c>
      <c r="J19" s="160">
        <f t="shared" si="1"/>
        <v>2.7043042875104506E-2</v>
      </c>
      <c r="K19" s="160">
        <f t="shared" si="2"/>
        <v>3.7177147249420894E-2</v>
      </c>
      <c r="L19" s="160">
        <f t="shared" si="3"/>
        <v>4.732836399827467E-2</v>
      </c>
      <c r="M19" s="160">
        <f t="shared" si="4"/>
        <v>5.745218403942709E-2</v>
      </c>
      <c r="N19" s="160">
        <f t="shared" si="5"/>
        <v>6.7537488817017488E-2</v>
      </c>
      <c r="O19" s="160">
        <f t="shared" si="6"/>
        <v>7.7602864211412603E-2</v>
      </c>
      <c r="P19" s="160">
        <f t="shared" si="7"/>
        <v>8.7646629183189217E-2</v>
      </c>
    </row>
    <row r="20" spans="1:16">
      <c r="A20" s="150">
        <v>29</v>
      </c>
      <c r="B20" s="159">
        <v>217501</v>
      </c>
      <c r="C20" s="159">
        <v>289119</v>
      </c>
      <c r="D20" s="159">
        <v>383620</v>
      </c>
      <c r="E20" s="159">
        <v>507001</v>
      </c>
      <c r="F20" s="159">
        <v>667608</v>
      </c>
      <c r="G20" s="159">
        <v>876363</v>
      </c>
      <c r="H20" s="159">
        <v>1146846</v>
      </c>
      <c r="J20" s="160">
        <f t="shared" si="1"/>
        <v>2.7156444015612236E-2</v>
      </c>
      <c r="K20" s="160">
        <f t="shared" si="2"/>
        <v>3.7287619070861977E-2</v>
      </c>
      <c r="L20" s="160">
        <f t="shared" si="3"/>
        <v>4.7452953197080427E-2</v>
      </c>
      <c r="M20" s="160">
        <f t="shared" si="4"/>
        <v>5.7573716291409616E-2</v>
      </c>
      <c r="N20" s="160">
        <f t="shared" si="5"/>
        <v>6.7657061838531263E-2</v>
      </c>
      <c r="O20" s="160">
        <f t="shared" si="6"/>
        <v>7.7721001406883872E-2</v>
      </c>
      <c r="P20" s="160">
        <f t="shared" si="7"/>
        <v>8.7763942902268299E-2</v>
      </c>
    </row>
    <row r="21" spans="1:16">
      <c r="A21" s="150">
        <v>30</v>
      </c>
      <c r="B21" s="159">
        <v>224101</v>
      </c>
      <c r="C21" s="159">
        <v>300796</v>
      </c>
      <c r="D21" s="159">
        <v>403166</v>
      </c>
      <c r="E21" s="159">
        <v>537921</v>
      </c>
      <c r="F21" s="159">
        <v>715017</v>
      </c>
      <c r="G21" s="159">
        <v>947380</v>
      </c>
      <c r="H21" s="159">
        <v>1251274</v>
      </c>
      <c r="J21" s="160">
        <f t="shared" si="1"/>
        <v>2.7262559703055356E-2</v>
      </c>
      <c r="K21" s="160">
        <f t="shared" si="2"/>
        <v>3.739082320267717E-2</v>
      </c>
      <c r="L21" s="160">
        <f t="shared" si="3"/>
        <v>4.7569382321642761E-2</v>
      </c>
      <c r="M21" s="160">
        <f t="shared" si="4"/>
        <v>5.7687284501760638E-2</v>
      </c>
      <c r="N21" s="160">
        <f t="shared" si="5"/>
        <v>6.7768764463973508E-2</v>
      </c>
      <c r="O21" s="160">
        <f t="shared" si="6"/>
        <v>7.7831339227798058E-2</v>
      </c>
      <c r="P21" s="160">
        <f t="shared" si="7"/>
        <v>8.7873540850571752E-2</v>
      </c>
    </row>
    <row r="22" spans="1:16">
      <c r="A22" s="150">
        <v>31</v>
      </c>
      <c r="B22" s="159">
        <v>230902</v>
      </c>
      <c r="C22" s="159">
        <v>313104</v>
      </c>
      <c r="D22" s="159">
        <v>423710</v>
      </c>
      <c r="E22" s="159">
        <v>570729</v>
      </c>
      <c r="F22" s="159">
        <v>765796</v>
      </c>
      <c r="G22" s="159">
        <v>1024156</v>
      </c>
      <c r="H22" s="159">
        <v>1365215</v>
      </c>
      <c r="J22" s="160">
        <f t="shared" si="1"/>
        <v>2.7361943207594885E-2</v>
      </c>
      <c r="K22" s="160">
        <f t="shared" si="2"/>
        <v>3.7504419455845373E-2</v>
      </c>
      <c r="L22" s="160">
        <f t="shared" si="3"/>
        <v>4.7678479323759904E-2</v>
      </c>
      <c r="M22" s="160">
        <f t="shared" si="4"/>
        <v>5.779367491781362E-2</v>
      </c>
      <c r="N22" s="160">
        <f t="shared" si="5"/>
        <v>6.7873421012481838E-2</v>
      </c>
      <c r="O22" s="160">
        <f t="shared" si="6"/>
        <v>7.7934706636530571E-2</v>
      </c>
      <c r="P22" s="160">
        <f t="shared" si="7"/>
        <v>8.7976184184196615E-2</v>
      </c>
    </row>
    <row r="23" spans="1:16">
      <c r="A23" s="150">
        <v>32</v>
      </c>
      <c r="B23" s="159">
        <v>237911</v>
      </c>
      <c r="C23" s="159">
        <v>325916</v>
      </c>
      <c r="D23" s="159">
        <v>445303</v>
      </c>
      <c r="E23" s="159">
        <v>605540</v>
      </c>
      <c r="F23" s="159">
        <v>820183</v>
      </c>
      <c r="G23" s="159">
        <v>1107157</v>
      </c>
      <c r="H23" s="159">
        <v>1489535</v>
      </c>
      <c r="J23" s="160">
        <f t="shared" si="1"/>
        <v>2.7455340417946505E-2</v>
      </c>
      <c r="K23" s="160">
        <f t="shared" si="2"/>
        <v>3.7610965052276679E-2</v>
      </c>
      <c r="L23" s="160">
        <f t="shared" si="3"/>
        <v>4.7780925878494251E-2</v>
      </c>
      <c r="M23" s="160">
        <f t="shared" si="4"/>
        <v>5.7893536369452381E-2</v>
      </c>
      <c r="N23" s="160">
        <f t="shared" si="5"/>
        <v>6.7971618373472653E-2</v>
      </c>
      <c r="O23" s="160">
        <f t="shared" si="6"/>
        <v>7.8031715288453984E-2</v>
      </c>
      <c r="P23" s="160">
        <f t="shared" si="7"/>
        <v>8.8072501765691369E-2</v>
      </c>
    </row>
    <row r="24" spans="1:16">
      <c r="A24" s="150">
        <v>33</v>
      </c>
      <c r="B24" s="159">
        <v>245134</v>
      </c>
      <c r="C24" s="159">
        <v>339255</v>
      </c>
      <c r="D24" s="159">
        <v>467999</v>
      </c>
      <c r="E24" s="159">
        <v>642477</v>
      </c>
      <c r="F24" s="159">
        <v>878436</v>
      </c>
      <c r="G24" s="159">
        <v>1196888</v>
      </c>
      <c r="H24" s="159">
        <v>1625179</v>
      </c>
      <c r="J24" s="160">
        <f t="shared" si="1"/>
        <v>2.7543242780477595E-2</v>
      </c>
      <c r="K24" s="160">
        <f t="shared" si="2"/>
        <v>3.7711317445946246E-2</v>
      </c>
      <c r="L24" s="160">
        <f t="shared" si="3"/>
        <v>4.7877347940291415E-2</v>
      </c>
      <c r="M24" s="160">
        <f t="shared" si="4"/>
        <v>5.798749095790301E-2</v>
      </c>
      <c r="N24" s="160">
        <f t="shared" si="5"/>
        <v>6.8063998735779618E-2</v>
      </c>
      <c r="O24" s="160">
        <f t="shared" si="6"/>
        <v>7.8122943302115111E-2</v>
      </c>
      <c r="P24" s="160">
        <f t="shared" si="7"/>
        <v>8.8163052585370938E-2</v>
      </c>
    </row>
    <row r="25" spans="1:16">
      <c r="A25" s="150">
        <v>34</v>
      </c>
      <c r="B25" s="159">
        <v>252576</v>
      </c>
      <c r="C25" s="159">
        <v>353140</v>
      </c>
      <c r="D25" s="159">
        <v>491852</v>
      </c>
      <c r="E25" s="159">
        <v>681669</v>
      </c>
      <c r="F25" s="159">
        <v>940829</v>
      </c>
      <c r="G25" s="159">
        <v>1293893</v>
      </c>
      <c r="H25" s="159">
        <v>1773179</v>
      </c>
      <c r="J25" s="160">
        <f t="shared" si="1"/>
        <v>2.7625946469429952E-2</v>
      </c>
      <c r="K25" s="160">
        <f t="shared" si="2"/>
        <v>3.7805781249965253E-2</v>
      </c>
      <c r="L25" s="160">
        <f t="shared" si="3"/>
        <v>4.7968121301409372E-2</v>
      </c>
      <c r="M25" s="160">
        <f t="shared" si="4"/>
        <v>5.8076013183681274E-2</v>
      </c>
      <c r="N25" s="160">
        <f t="shared" si="5"/>
        <v>6.8151039613041142E-2</v>
      </c>
      <c r="O25" s="160">
        <f t="shared" si="6"/>
        <v>7.8208852030232645E-2</v>
      </c>
      <c r="P25" s="160">
        <f t="shared" si="7"/>
        <v>8.8248349206269783E-2</v>
      </c>
    </row>
    <row r="26" spans="1:16">
      <c r="A26" s="150">
        <v>35</v>
      </c>
      <c r="B26" s="159">
        <v>260247</v>
      </c>
      <c r="C26" s="159">
        <v>367596</v>
      </c>
      <c r="D26" s="159">
        <v>516924</v>
      </c>
      <c r="E26" s="159">
        <v>723254</v>
      </c>
      <c r="F26" s="159">
        <v>1007656</v>
      </c>
      <c r="G26" s="159">
        <v>1398765</v>
      </c>
      <c r="H26" s="159">
        <v>1934660</v>
      </c>
      <c r="J26" s="160">
        <f t="shared" si="1"/>
        <v>2.7704276601921318E-2</v>
      </c>
      <c r="K26" s="160">
        <f t="shared" si="2"/>
        <v>3.7895074091515601E-2</v>
      </c>
      <c r="L26" s="160">
        <f t="shared" si="3"/>
        <v>4.8053903599007519E-2</v>
      </c>
      <c r="M26" s="160">
        <f t="shared" si="4"/>
        <v>5.8159577119925254E-2</v>
      </c>
      <c r="N26" s="160">
        <f t="shared" si="5"/>
        <v>6.8233185590010681E-2</v>
      </c>
      <c r="O26" s="160">
        <f t="shared" si="6"/>
        <v>7.8289967412073613E-2</v>
      </c>
      <c r="P26" s="160">
        <f t="shared" si="7"/>
        <v>8.8328827684097444E-2</v>
      </c>
    </row>
    <row r="27" spans="1:16">
      <c r="A27" s="150">
        <v>36</v>
      </c>
      <c r="B27" s="159">
        <v>268151</v>
      </c>
      <c r="C27" s="159">
        <v>382645</v>
      </c>
      <c r="D27" s="159">
        <v>543275</v>
      </c>
      <c r="E27" s="159">
        <v>767378</v>
      </c>
      <c r="F27" s="159">
        <v>1079232</v>
      </c>
      <c r="G27" s="159">
        <v>1512139</v>
      </c>
      <c r="H27" s="159">
        <v>2110850</v>
      </c>
      <c r="J27" s="160">
        <f t="shared" si="1"/>
        <v>2.777826305795239E-2</v>
      </c>
      <c r="K27" s="160">
        <f t="shared" si="2"/>
        <v>3.797950632354441E-2</v>
      </c>
      <c r="L27" s="160">
        <f t="shared" si="3"/>
        <v>4.813497825530666E-2</v>
      </c>
      <c r="M27" s="160">
        <f t="shared" si="4"/>
        <v>5.8238585897671946E-2</v>
      </c>
      <c r="N27" s="160">
        <f t="shared" si="5"/>
        <v>6.831083650884473E-2</v>
      </c>
      <c r="O27" s="160">
        <f t="shared" si="6"/>
        <v>7.8366620903550288E-2</v>
      </c>
      <c r="P27" s="160">
        <f t="shared" si="7"/>
        <v>8.8404885644886688E-2</v>
      </c>
    </row>
    <row r="28" spans="1:16">
      <c r="A28" s="150">
        <v>37</v>
      </c>
      <c r="B28" s="159">
        <v>276296</v>
      </c>
      <c r="C28" s="159">
        <v>398311</v>
      </c>
      <c r="D28" s="159">
        <v>570972</v>
      </c>
      <c r="E28" s="159">
        <v>814196</v>
      </c>
      <c r="F28" s="159">
        <v>1155896</v>
      </c>
      <c r="G28" s="159">
        <v>1634705</v>
      </c>
      <c r="H28" s="159">
        <v>2303090</v>
      </c>
      <c r="J28" s="160">
        <f t="shared" si="1"/>
        <v>2.7848350307785097E-2</v>
      </c>
      <c r="K28" s="160">
        <f t="shared" si="2"/>
        <v>3.8059445035375283E-2</v>
      </c>
      <c r="L28" s="160">
        <f t="shared" si="3"/>
        <v>4.8211811082400358E-2</v>
      </c>
      <c r="M28" s="160">
        <f t="shared" si="4"/>
        <v>5.8313403137507658E-2</v>
      </c>
      <c r="N28" s="160">
        <f t="shared" si="5"/>
        <v>6.8384390224458524E-2</v>
      </c>
      <c r="O28" s="160">
        <f t="shared" si="6"/>
        <v>7.8439184213269231E-2</v>
      </c>
      <c r="P28" s="160">
        <f t="shared" si="7"/>
        <v>8.8476892564364418E-2</v>
      </c>
    </row>
    <row r="29" spans="1:16">
      <c r="A29" s="150">
        <v>38</v>
      </c>
      <c r="B29" s="159">
        <v>284690</v>
      </c>
      <c r="C29" s="159">
        <v>414620</v>
      </c>
      <c r="D29" s="159">
        <v>600083</v>
      </c>
      <c r="E29" s="159">
        <v>863874</v>
      </c>
      <c r="F29" s="159">
        <v>1238007</v>
      </c>
      <c r="G29" s="159">
        <v>1767210</v>
      </c>
      <c r="H29" s="159">
        <v>2512841</v>
      </c>
      <c r="J29" s="160">
        <f t="shared" si="1"/>
        <v>2.7914905025680392E-2</v>
      </c>
      <c r="K29" s="160">
        <f t="shared" si="2"/>
        <v>3.8135288401656586E-2</v>
      </c>
      <c r="L29" s="160">
        <f t="shared" si="3"/>
        <v>4.828469556321946E-2</v>
      </c>
      <c r="M29" s="160">
        <f t="shared" si="4"/>
        <v>5.8384404138044133E-2</v>
      </c>
      <c r="N29" s="160">
        <f t="shared" si="5"/>
        <v>6.8454102780771242E-2</v>
      </c>
      <c r="O29" s="160">
        <f t="shared" si="6"/>
        <v>7.8508004332644044E-2</v>
      </c>
      <c r="P29" s="160">
        <f t="shared" si="7"/>
        <v>8.8545151178791359E-2</v>
      </c>
    </row>
    <row r="30" spans="1:16">
      <c r="A30" s="150">
        <v>39</v>
      </c>
      <c r="B30" s="159">
        <v>293339</v>
      </c>
      <c r="C30" s="159">
        <v>431598</v>
      </c>
      <c r="D30" s="159">
        <v>630679</v>
      </c>
      <c r="E30" s="159">
        <v>916584</v>
      </c>
      <c r="F30" s="159">
        <v>1325955</v>
      </c>
      <c r="G30" s="159">
        <v>1910457</v>
      </c>
      <c r="H30" s="159">
        <v>2741698</v>
      </c>
      <c r="J30" s="160">
        <f t="shared" si="1"/>
        <v>2.7978049443278641E-2</v>
      </c>
      <c r="K30" s="160">
        <f t="shared" si="2"/>
        <v>3.8207322834723945E-2</v>
      </c>
      <c r="L30" s="160">
        <f t="shared" si="3"/>
        <v>4.8353880139622163E-2</v>
      </c>
      <c r="M30" s="160">
        <f t="shared" si="4"/>
        <v>5.8451795324952815E-2</v>
      </c>
      <c r="N30" s="160">
        <f t="shared" si="5"/>
        <v>6.8520329425754811E-2</v>
      </c>
      <c r="O30" s="160">
        <f t="shared" si="6"/>
        <v>7.8573320758771104E-2</v>
      </c>
      <c r="P30" s="160">
        <f t="shared" si="7"/>
        <v>8.8609945823929337E-2</v>
      </c>
    </row>
    <row r="31" spans="1:16">
      <c r="A31" s="150">
        <v>40</v>
      </c>
      <c r="B31" s="159">
        <v>302278</v>
      </c>
      <c r="C31" s="159">
        <v>449273</v>
      </c>
      <c r="D31" s="159">
        <v>662838</v>
      </c>
      <c r="E31" s="159">
        <v>972513</v>
      </c>
      <c r="F31" s="159">
        <v>1420153</v>
      </c>
      <c r="G31" s="159">
        <v>2065320</v>
      </c>
      <c r="H31" s="159">
        <v>2991402</v>
      </c>
      <c r="J31" s="160">
        <f t="shared" si="1"/>
        <v>2.8040356382663223E-2</v>
      </c>
      <c r="K31" s="160">
        <f t="shared" si="2"/>
        <v>3.827586296491603E-2</v>
      </c>
      <c r="L31" s="160">
        <f t="shared" si="3"/>
        <v>4.841972928519489E-2</v>
      </c>
      <c r="M31" s="160">
        <f t="shared" si="4"/>
        <v>5.8515898612444994E-2</v>
      </c>
      <c r="N31" s="160">
        <f t="shared" si="5"/>
        <v>6.8583289460580898E-2</v>
      </c>
      <c r="O31" s="160">
        <f t="shared" si="6"/>
        <v>7.8635435672619769E-2</v>
      </c>
      <c r="P31" s="160">
        <f t="shared" si="7"/>
        <v>8.8671539321322213E-2</v>
      </c>
    </row>
    <row r="32" spans="1:16">
      <c r="A32" s="150">
        <v>41</v>
      </c>
      <c r="B32" s="159">
        <v>311620</v>
      </c>
      <c r="C32" s="159">
        <v>467674</v>
      </c>
      <c r="D32" s="159">
        <v>696637</v>
      </c>
      <c r="E32" s="159">
        <v>1031856</v>
      </c>
      <c r="F32" s="159">
        <v>1521045</v>
      </c>
      <c r="G32" s="159">
        <v>2232738</v>
      </c>
      <c r="H32" s="159">
        <v>3263851</v>
      </c>
      <c r="J32" s="160">
        <f t="shared" si="1"/>
        <v>2.8110138860582223E-2</v>
      </c>
      <c r="K32" s="160">
        <f t="shared" si="2"/>
        <v>3.8341181126438473E-2</v>
      </c>
      <c r="L32" s="160">
        <f t="shared" si="3"/>
        <v>4.8482376650943904E-2</v>
      </c>
      <c r="M32" s="160">
        <f t="shared" si="4"/>
        <v>5.8576910309305008E-2</v>
      </c>
      <c r="N32" s="160">
        <f t="shared" si="5"/>
        <v>6.8643216346155667E-2</v>
      </c>
      <c r="O32" s="160">
        <f t="shared" si="6"/>
        <v>7.8694543887482205E-2</v>
      </c>
      <c r="P32" s="160">
        <f t="shared" si="7"/>
        <v>8.8730154737348244E-2</v>
      </c>
    </row>
    <row r="33" spans="1:16">
      <c r="A33" s="150">
        <v>42</v>
      </c>
      <c r="B33" s="159">
        <v>321252</v>
      </c>
      <c r="C33" s="159">
        <v>486829</v>
      </c>
      <c r="D33" s="159">
        <v>732163</v>
      </c>
      <c r="E33" s="159">
        <v>1094824</v>
      </c>
      <c r="F33" s="159">
        <v>1629108</v>
      </c>
      <c r="G33" s="159">
        <v>2413730</v>
      </c>
      <c r="H33" s="159">
        <v>3561118</v>
      </c>
      <c r="J33" s="160">
        <f t="shared" si="1"/>
        <v>2.8176700493907747E-2</v>
      </c>
      <c r="K33" s="160">
        <f t="shared" si="2"/>
        <v>3.8403410245395397E-2</v>
      </c>
      <c r="L33" s="160">
        <f t="shared" si="3"/>
        <v>4.8542165118628189E-2</v>
      </c>
      <c r="M33" s="160">
        <f t="shared" si="4"/>
        <v>5.8635109156976783E-2</v>
      </c>
      <c r="N33" s="160">
        <f t="shared" si="5"/>
        <v>6.8700344623054299E-2</v>
      </c>
      <c r="O33" s="160">
        <f t="shared" si="6"/>
        <v>7.8750870664793915E-2</v>
      </c>
      <c r="P33" s="160">
        <f t="shared" si="7"/>
        <v>8.8786011461864378E-2</v>
      </c>
    </row>
    <row r="34" spans="1:16">
      <c r="A34" s="150">
        <v>43</v>
      </c>
      <c r="B34" s="159">
        <v>331182</v>
      </c>
      <c r="C34" s="159">
        <v>506771</v>
      </c>
      <c r="D34" s="159">
        <v>769501</v>
      </c>
      <c r="E34" s="159">
        <v>1161635</v>
      </c>
      <c r="F34" s="159">
        <v>1744850</v>
      </c>
      <c r="G34" s="159">
        <v>2609398</v>
      </c>
      <c r="H34" s="159">
        <v>3885463</v>
      </c>
      <c r="J34" s="160">
        <f t="shared" si="1"/>
        <v>2.8240190486767958E-2</v>
      </c>
      <c r="K34" s="160">
        <f t="shared" si="2"/>
        <v>3.8462865176105643E-2</v>
      </c>
      <c r="L34" s="160">
        <f t="shared" si="3"/>
        <v>4.8599185435995951E-2</v>
      </c>
      <c r="M34" s="160">
        <f t="shared" si="4"/>
        <v>5.8690613378265866E-2</v>
      </c>
      <c r="N34" s="160">
        <f t="shared" si="5"/>
        <v>6.8754841958199142E-2</v>
      </c>
      <c r="O34" s="160">
        <f t="shared" si="6"/>
        <v>7.8804621493655747E-2</v>
      </c>
      <c r="P34" s="160">
        <f t="shared" si="7"/>
        <v>8.8839294608786146E-2</v>
      </c>
    </row>
    <row r="35" spans="1:16">
      <c r="A35" s="150">
        <v>44</v>
      </c>
      <c r="B35" s="159">
        <v>341421</v>
      </c>
      <c r="C35" s="159">
        <v>527530</v>
      </c>
      <c r="D35" s="159">
        <v>808746</v>
      </c>
      <c r="E35" s="159">
        <v>1232527</v>
      </c>
      <c r="F35" s="159">
        <v>1868818</v>
      </c>
      <c r="G35" s="159">
        <v>2820930</v>
      </c>
      <c r="H35" s="159">
        <v>4239352</v>
      </c>
      <c r="J35" s="160">
        <f t="shared" si="1"/>
        <v>2.8300939277032144E-2</v>
      </c>
      <c r="K35" s="160">
        <f t="shared" si="2"/>
        <v>3.8519625925681922E-2</v>
      </c>
      <c r="L35" s="160">
        <f t="shared" si="3"/>
        <v>4.8653701683263995E-2</v>
      </c>
      <c r="M35" s="160">
        <f t="shared" si="4"/>
        <v>5.8743673484286774E-2</v>
      </c>
      <c r="N35" s="160">
        <f t="shared" si="5"/>
        <v>6.8806903285820509E-2</v>
      </c>
      <c r="O35" s="160">
        <f t="shared" si="6"/>
        <v>7.8855951214560349E-2</v>
      </c>
      <c r="P35" s="160">
        <f t="shared" si="7"/>
        <v>8.8890174605003702E-2</v>
      </c>
    </row>
    <row r="36" spans="1:16">
      <c r="A36" s="150">
        <v>45</v>
      </c>
      <c r="B36" s="159">
        <v>351977</v>
      </c>
      <c r="C36" s="159">
        <v>549142</v>
      </c>
      <c r="D36" s="159">
        <v>849994</v>
      </c>
      <c r="E36" s="159">
        <v>1307746</v>
      </c>
      <c r="F36" s="159">
        <v>2001597</v>
      </c>
      <c r="G36" s="159">
        <v>3049613</v>
      </c>
      <c r="H36" s="159">
        <v>4625477</v>
      </c>
      <c r="J36" s="160">
        <f t="shared" si="1"/>
        <v>2.8359020405058111E-2</v>
      </c>
      <c r="K36" s="160">
        <f t="shared" si="2"/>
        <v>3.8573977970067341E-2</v>
      </c>
      <c r="L36" s="160">
        <f t="shared" si="3"/>
        <v>4.8705838269626156E-2</v>
      </c>
      <c r="M36" s="160">
        <f t="shared" si="4"/>
        <v>5.8794388983864687E-2</v>
      </c>
      <c r="N36" s="160">
        <f t="shared" si="5"/>
        <v>6.8856692648519457E-2</v>
      </c>
      <c r="O36" s="160">
        <f t="shared" si="6"/>
        <v>7.8905025993865952E-2</v>
      </c>
      <c r="P36" s="160">
        <f t="shared" si="7"/>
        <v>8.8938814825821222E-2</v>
      </c>
    </row>
    <row r="37" spans="1:16">
      <c r="A37" s="150">
        <v>46</v>
      </c>
      <c r="B37" s="159">
        <v>362860</v>
      </c>
      <c r="C37" s="159">
        <v>571640</v>
      </c>
      <c r="D37" s="159">
        <v>893348</v>
      </c>
      <c r="E37" s="159">
        <v>1387558</v>
      </c>
      <c r="F37" s="159">
        <v>2143812</v>
      </c>
      <c r="G37" s="159">
        <v>3296837</v>
      </c>
      <c r="H37" s="159">
        <v>5046774</v>
      </c>
      <c r="J37" s="160">
        <f t="shared" si="1"/>
        <v>2.841461823113911E-2</v>
      </c>
      <c r="K37" s="160">
        <f t="shared" si="2"/>
        <v>3.8625992982130875E-2</v>
      </c>
      <c r="L37" s="160">
        <f t="shared" si="3"/>
        <v>4.8755767955222407E-2</v>
      </c>
      <c r="M37" s="160">
        <f t="shared" si="4"/>
        <v>5.8842943439635143E-2</v>
      </c>
      <c r="N37" s="160">
        <f t="shared" si="5"/>
        <v>6.8904342068690783E-2</v>
      </c>
      <c r="O37" s="160">
        <f t="shared" si="6"/>
        <v>7.8951986700801058E-2</v>
      </c>
      <c r="P37" s="160">
        <f t="shared" si="7"/>
        <v>8.8985357748538219E-2</v>
      </c>
    </row>
    <row r="38" spans="1:16">
      <c r="A38" s="150">
        <v>47</v>
      </c>
      <c r="B38" s="159">
        <v>374081</v>
      </c>
      <c r="C38" s="159">
        <v>595061</v>
      </c>
      <c r="D38" s="159">
        <v>938914</v>
      </c>
      <c r="E38" s="159">
        <v>1472244</v>
      </c>
      <c r="F38" s="159">
        <v>2296134</v>
      </c>
      <c r="G38" s="159">
        <v>3564106</v>
      </c>
      <c r="H38" s="159">
        <v>5506447</v>
      </c>
      <c r="J38" s="160">
        <f t="shared" si="1"/>
        <v>2.8467940848380113E-2</v>
      </c>
      <c r="K38" s="160">
        <f t="shared" si="2"/>
        <v>3.8675844240191548E-2</v>
      </c>
      <c r="L38" s="160">
        <f t="shared" si="3"/>
        <v>4.8803592464492285E-2</v>
      </c>
      <c r="M38" s="160">
        <f t="shared" si="4"/>
        <v>5.8889480626097779E-2</v>
      </c>
      <c r="N38" s="160">
        <f t="shared" si="5"/>
        <v>6.8949990759189506E-2</v>
      </c>
      <c r="O38" s="160">
        <f t="shared" si="6"/>
        <v>7.8996971665666438E-2</v>
      </c>
      <c r="P38" s="160">
        <f t="shared" si="7"/>
        <v>8.9029936671445986E-2</v>
      </c>
    </row>
    <row r="39" spans="1:16">
      <c r="A39" s="150">
        <v>48</v>
      </c>
      <c r="B39" s="159">
        <v>385650</v>
      </c>
      <c r="C39" s="159">
        <v>619443</v>
      </c>
      <c r="D39" s="159">
        <v>986807</v>
      </c>
      <c r="E39" s="159">
        <v>1562100</v>
      </c>
      <c r="F39" s="159">
        <v>2459281</v>
      </c>
      <c r="G39" s="159">
        <v>3853045</v>
      </c>
      <c r="H39" s="159">
        <v>6007992</v>
      </c>
      <c r="J39" s="160">
        <f t="shared" si="1"/>
        <v>2.8519100088087779E-2</v>
      </c>
      <c r="K39" s="160">
        <f t="shared" si="2"/>
        <v>3.8723669669404659E-2</v>
      </c>
      <c r="L39" s="160">
        <f t="shared" si="3"/>
        <v>4.8849489797315737E-2</v>
      </c>
      <c r="M39" s="160">
        <f t="shared" si="4"/>
        <v>5.8934100593524663E-2</v>
      </c>
      <c r="N39" s="160">
        <f t="shared" si="5"/>
        <v>6.8993759413019662E-2</v>
      </c>
      <c r="O39" s="160">
        <f t="shared" si="6"/>
        <v>7.9040101252648043E-2</v>
      </c>
      <c r="P39" s="160">
        <f t="shared" si="7"/>
        <v>8.9072674259313311E-2</v>
      </c>
    </row>
    <row r="40" spans="1:16">
      <c r="A40" s="150">
        <v>49</v>
      </c>
      <c r="B40" s="159">
        <v>397577</v>
      </c>
      <c r="C40" s="159">
        <v>644825</v>
      </c>
      <c r="D40" s="159">
        <v>1037143</v>
      </c>
      <c r="E40" s="159">
        <v>1657442</v>
      </c>
      <c r="F40" s="159">
        <v>2634023</v>
      </c>
      <c r="G40" s="159">
        <v>4165412</v>
      </c>
      <c r="H40" s="159">
        <v>6555222</v>
      </c>
      <c r="J40" s="160">
        <f t="shared" si="1"/>
        <v>2.856818477021017E-2</v>
      </c>
      <c r="K40" s="160">
        <f t="shared" si="2"/>
        <v>3.8769577102448549E-2</v>
      </c>
      <c r="L40" s="160">
        <f t="shared" si="3"/>
        <v>4.8893516260333891E-2</v>
      </c>
      <c r="M40" s="160">
        <f t="shared" si="4"/>
        <v>5.8976924396263675E-2</v>
      </c>
      <c r="N40" s="160">
        <f t="shared" si="5"/>
        <v>6.9035767552497518E-2</v>
      </c>
      <c r="O40" s="160">
        <f t="shared" si="6"/>
        <v>7.9081493027691963E-2</v>
      </c>
      <c r="P40" s="160">
        <f t="shared" si="7"/>
        <v>8.9113678049169698E-2</v>
      </c>
    </row>
    <row r="41" spans="1:16">
      <c r="A41" s="150">
        <v>50</v>
      </c>
      <c r="B41" s="159">
        <v>409874</v>
      </c>
      <c r="C41" s="159">
        <v>671249</v>
      </c>
      <c r="D41" s="159">
        <v>1090050</v>
      </c>
      <c r="E41" s="159">
        <v>1758606</v>
      </c>
      <c r="F41" s="159">
        <v>2821183</v>
      </c>
      <c r="G41" s="159">
        <v>4503104</v>
      </c>
      <c r="H41" s="159">
        <v>7152299</v>
      </c>
      <c r="J41" s="160">
        <f t="shared" si="1"/>
        <v>2.8615365166114293E-2</v>
      </c>
      <c r="K41" s="160">
        <f t="shared" si="2"/>
        <v>3.8813710791032685E-2</v>
      </c>
      <c r="L41" s="160">
        <f t="shared" si="3"/>
        <v>4.8935849087580641E-2</v>
      </c>
      <c r="M41" s="160">
        <f t="shared" si="4"/>
        <v>5.9018071179947285E-2</v>
      </c>
      <c r="N41" s="160">
        <f t="shared" si="5"/>
        <v>6.9076111049018563E-2</v>
      </c>
      <c r="O41" s="160">
        <f t="shared" si="6"/>
        <v>7.9121237121065002E-2</v>
      </c>
      <c r="P41" s="160">
        <f t="shared" si="7"/>
        <v>8.9153053128459669E-2</v>
      </c>
    </row>
    <row r="42" spans="1:16">
      <c r="A42" s="150">
        <v>51</v>
      </c>
      <c r="B42" s="159">
        <v>422552</v>
      </c>
      <c r="C42" s="159">
        <v>698757</v>
      </c>
      <c r="D42" s="159">
        <v>1145657</v>
      </c>
      <c r="E42" s="159">
        <v>1865946</v>
      </c>
      <c r="F42" s="159">
        <v>3021645</v>
      </c>
      <c r="G42" s="159">
        <v>4868177</v>
      </c>
      <c r="H42" s="159">
        <v>7803764</v>
      </c>
      <c r="J42" s="160">
        <f t="shared" si="1"/>
        <v>2.8660728680119263E-2</v>
      </c>
      <c r="K42" s="160">
        <f t="shared" si="2"/>
        <v>3.8856149985323718E-2</v>
      </c>
      <c r="L42" s="160">
        <f t="shared" si="3"/>
        <v>4.8976543068203204E-2</v>
      </c>
      <c r="M42" s="160">
        <f t="shared" si="4"/>
        <v>5.9057620688372836E-2</v>
      </c>
      <c r="N42" s="160">
        <f t="shared" si="5"/>
        <v>6.9114897345008863E-2</v>
      </c>
      <c r="O42" s="160">
        <f t="shared" si="6"/>
        <v>7.9159442011220715E-2</v>
      </c>
      <c r="P42" s="160">
        <f t="shared" si="7"/>
        <v>8.9190895643869617E-2</v>
      </c>
    </row>
    <row r="43" spans="1:16">
      <c r="A43" s="150">
        <v>52</v>
      </c>
      <c r="B43" s="159">
        <v>435624</v>
      </c>
      <c r="C43" s="159">
        <v>727394</v>
      </c>
      <c r="D43" s="159">
        <v>1204102</v>
      </c>
      <c r="E43" s="159">
        <v>1979841</v>
      </c>
      <c r="F43" s="159">
        <v>3236354</v>
      </c>
      <c r="G43" s="159">
        <v>5262849</v>
      </c>
      <c r="H43" s="159">
        <v>8514571</v>
      </c>
      <c r="J43" s="160">
        <f t="shared" si="1"/>
        <v>2.8704433388440309E-2</v>
      </c>
      <c r="K43" s="160">
        <f t="shared" si="2"/>
        <v>3.8897005596193912E-2</v>
      </c>
      <c r="L43" s="160">
        <f t="shared" si="3"/>
        <v>4.9015695262758729E-2</v>
      </c>
      <c r="M43" s="160">
        <f t="shared" si="4"/>
        <v>5.909568430534895E-2</v>
      </c>
      <c r="N43" s="160">
        <f t="shared" si="5"/>
        <v>6.9152212060042961E-2</v>
      </c>
      <c r="O43" s="160">
        <f t="shared" si="6"/>
        <v>7.9196186709574512E-2</v>
      </c>
      <c r="P43" s="160">
        <f t="shared" si="7"/>
        <v>8.9227292544718173E-2</v>
      </c>
    </row>
    <row r="44" spans="1:16">
      <c r="A44" s="150">
        <v>53</v>
      </c>
      <c r="B44" s="159">
        <v>449100</v>
      </c>
      <c r="C44" s="159">
        <v>757205</v>
      </c>
      <c r="D44" s="159">
        <v>1265531</v>
      </c>
      <c r="E44" s="159">
        <v>2100689</v>
      </c>
      <c r="F44" s="159">
        <v>3466321</v>
      </c>
      <c r="G44" s="159">
        <v>5689522</v>
      </c>
      <c r="H44" s="159">
        <v>9290125</v>
      </c>
      <c r="J44" s="160">
        <f t="shared" si="1"/>
        <v>2.8746473618381785E-2</v>
      </c>
      <c r="K44" s="160">
        <f t="shared" si="2"/>
        <v>3.8936330744774095E-2</v>
      </c>
      <c r="L44" s="160">
        <f t="shared" si="3"/>
        <v>4.9053409927786173E-2</v>
      </c>
      <c r="M44" s="160">
        <f t="shared" si="4"/>
        <v>5.9132322290315509E-2</v>
      </c>
      <c r="N44" s="160">
        <f t="shared" si="5"/>
        <v>6.9188128193300891E-2</v>
      </c>
      <c r="O44" s="160">
        <f t="shared" si="6"/>
        <v>7.9231561100824521E-2</v>
      </c>
      <c r="P44" s="160">
        <f t="shared" si="7"/>
        <v>8.9262323849160996E-2</v>
      </c>
    </row>
    <row r="45" spans="1:16">
      <c r="A45" s="150">
        <v>54</v>
      </c>
      <c r="B45" s="159">
        <v>462995</v>
      </c>
      <c r="C45" s="159">
        <v>788239</v>
      </c>
      <c r="D45" s="159">
        <v>1330095</v>
      </c>
      <c r="E45" s="159">
        <v>2228916</v>
      </c>
      <c r="F45" s="159">
        <v>3712632</v>
      </c>
      <c r="G45" s="159">
        <v>6150788</v>
      </c>
      <c r="H45" s="159">
        <v>10136325</v>
      </c>
      <c r="J45" s="160">
        <f t="shared" si="1"/>
        <v>2.8787045695598312E-2</v>
      </c>
      <c r="K45" s="160">
        <f t="shared" si="2"/>
        <v>3.8974231254230718E-2</v>
      </c>
      <c r="L45" s="160">
        <f t="shared" si="3"/>
        <v>4.9089745262014928E-2</v>
      </c>
      <c r="M45" s="160">
        <f t="shared" si="4"/>
        <v>5.9167626768449777E-2</v>
      </c>
      <c r="N45" s="160">
        <f t="shared" si="5"/>
        <v>6.9222731963978434E-2</v>
      </c>
      <c r="O45" s="160">
        <f t="shared" si="6"/>
        <v>7.9265631294656691E-2</v>
      </c>
      <c r="P45" s="160">
        <f t="shared" si="7"/>
        <v>8.929606726477024E-2</v>
      </c>
    </row>
    <row r="46" spans="1:16">
      <c r="A46" s="150">
        <v>55</v>
      </c>
      <c r="B46" s="159">
        <v>477319</v>
      </c>
      <c r="C46" s="159">
        <v>820547</v>
      </c>
      <c r="D46" s="159">
        <v>1397954</v>
      </c>
      <c r="E46" s="159">
        <v>2364972</v>
      </c>
      <c r="F46" s="159">
        <v>3976448</v>
      </c>
      <c r="G46" s="159">
        <v>6649454</v>
      </c>
      <c r="H46" s="159">
        <v>11059604</v>
      </c>
      <c r="J46" s="160">
        <f t="shared" si="1"/>
        <v>2.8826108411727169E-2</v>
      </c>
      <c r="K46" s="160">
        <f t="shared" si="2"/>
        <v>3.9010802607288841E-2</v>
      </c>
      <c r="L46" s="160">
        <f t="shared" si="3"/>
        <v>4.9124775753723648E-2</v>
      </c>
      <c r="M46" s="160">
        <f t="shared" si="4"/>
        <v>5.9201664572836599E-2</v>
      </c>
      <c r="N46" s="160">
        <f t="shared" si="5"/>
        <v>6.9256090944154414E-2</v>
      </c>
      <c r="O46" s="160">
        <f t="shared" si="6"/>
        <v>7.9298474897661286E-2</v>
      </c>
      <c r="P46" s="160">
        <f t="shared" si="7"/>
        <v>8.9328588318879465E-2</v>
      </c>
    </row>
    <row r="47" spans="1:16">
      <c r="A47" s="150">
        <v>56</v>
      </c>
      <c r="B47" s="159">
        <v>492088</v>
      </c>
      <c r="C47" s="159">
        <v>854180</v>
      </c>
      <c r="D47" s="159">
        <v>1469277</v>
      </c>
      <c r="E47" s="159">
        <v>2509335</v>
      </c>
      <c r="F47" s="159">
        <v>4259012</v>
      </c>
      <c r="G47" s="159">
        <v>7188552</v>
      </c>
      <c r="H47" s="159">
        <v>12066985</v>
      </c>
      <c r="J47" s="160">
        <f t="shared" si="1"/>
        <v>2.8863846447342745E-2</v>
      </c>
      <c r="K47" s="160">
        <f t="shared" si="2"/>
        <v>3.904608586460645E-2</v>
      </c>
      <c r="L47" s="160">
        <f t="shared" si="3"/>
        <v>4.9158581239380661E-2</v>
      </c>
      <c r="M47" s="160">
        <f t="shared" si="4"/>
        <v>5.9234502556160917E-2</v>
      </c>
      <c r="N47" s="160">
        <f t="shared" si="5"/>
        <v>6.9288266211338767E-2</v>
      </c>
      <c r="O47" s="160">
        <f t="shared" si="6"/>
        <v>7.9330155563536842E-2</v>
      </c>
      <c r="P47" s="160">
        <f t="shared" si="7"/>
        <v>8.9359955361741905E-2</v>
      </c>
    </row>
    <row r="48" spans="1:16">
      <c r="A48" s="150">
        <v>57</v>
      </c>
      <c r="B48" s="159">
        <v>507315</v>
      </c>
      <c r="C48" s="159">
        <v>889193</v>
      </c>
      <c r="D48" s="159">
        <v>1544241</v>
      </c>
      <c r="E48" s="159">
        <v>2662513</v>
      </c>
      <c r="F48" s="159">
        <v>4561658</v>
      </c>
      <c r="G48" s="159">
        <v>7771359</v>
      </c>
      <c r="H48" s="159">
        <v>13166129</v>
      </c>
      <c r="J48" s="160">
        <f t="shared" si="1"/>
        <v>2.8900298086298237E-2</v>
      </c>
      <c r="K48" s="160">
        <f t="shared" si="2"/>
        <v>3.9080161635078658E-2</v>
      </c>
      <c r="L48" s="160">
        <f t="shared" si="3"/>
        <v>4.9191227010909611E-2</v>
      </c>
      <c r="M48" s="160">
        <f t="shared" si="4"/>
        <v>5.9266208632753559E-2</v>
      </c>
      <c r="N48" s="160">
        <f t="shared" si="5"/>
        <v>6.9319326485977717E-2</v>
      </c>
      <c r="O48" s="160">
        <f t="shared" si="6"/>
        <v>7.9360730760280163E-2</v>
      </c>
      <c r="P48" s="160">
        <f t="shared" si="7"/>
        <v>8.9390228695602314E-2</v>
      </c>
    </row>
    <row r="49" spans="1:16">
      <c r="A49" s="150">
        <v>58</v>
      </c>
      <c r="B49" s="159">
        <v>523014</v>
      </c>
      <c r="C49" s="159">
        <v>925642</v>
      </c>
      <c r="D49" s="159">
        <v>1623031</v>
      </c>
      <c r="E49" s="159">
        <v>2825043</v>
      </c>
      <c r="F49" s="159">
        <v>4885813</v>
      </c>
      <c r="G49" s="159">
        <v>8401420</v>
      </c>
      <c r="H49" s="159">
        <v>14365393</v>
      </c>
      <c r="J49" s="160">
        <f t="shared" si="1"/>
        <v>2.8935521845555146E-2</v>
      </c>
      <c r="K49" s="160">
        <f t="shared" si="2"/>
        <v>3.9113079126507744E-2</v>
      </c>
      <c r="L49" s="160">
        <f t="shared" si="3"/>
        <v>4.9222762083049876E-2</v>
      </c>
      <c r="M49" s="160">
        <f t="shared" si="4"/>
        <v>5.9296832090235174E-2</v>
      </c>
      <c r="N49" s="160">
        <f t="shared" si="5"/>
        <v>6.9349327637256986E-2</v>
      </c>
      <c r="O49" s="160">
        <f t="shared" si="6"/>
        <v>7.9390259807003982E-2</v>
      </c>
      <c r="P49" s="160">
        <f t="shared" si="7"/>
        <v>8.9419462062580779E-2</v>
      </c>
    </row>
    <row r="50" spans="1:16">
      <c r="A50" s="150">
        <v>59</v>
      </c>
      <c r="B50" s="159">
        <v>539198</v>
      </c>
      <c r="C50" s="159">
        <v>963586</v>
      </c>
      <c r="D50" s="159">
        <v>1705843</v>
      </c>
      <c r="E50" s="159">
        <v>2997496</v>
      </c>
      <c r="F50" s="159">
        <v>5233005</v>
      </c>
      <c r="G50" s="159">
        <v>9082565</v>
      </c>
      <c r="H50" s="159">
        <v>15673898</v>
      </c>
      <c r="J50" s="160">
        <f t="shared" si="1"/>
        <v>2.8969526531503309E-2</v>
      </c>
      <c r="K50" s="160">
        <f t="shared" si="2"/>
        <v>3.9144898492348146E-2</v>
      </c>
      <c r="L50" s="160">
        <f t="shared" si="3"/>
        <v>4.9253249817367006E-2</v>
      </c>
      <c r="M50" s="160">
        <f t="shared" si="4"/>
        <v>5.9326427564156292E-2</v>
      </c>
      <c r="N50" s="160">
        <f t="shared" si="5"/>
        <v>6.9378320535308013E-2</v>
      </c>
      <c r="O50" s="160">
        <f t="shared" si="6"/>
        <v>7.9418792586371412E-2</v>
      </c>
      <c r="P50" s="160">
        <f t="shared" si="7"/>
        <v>8.9447709414588683E-2</v>
      </c>
    </row>
    <row r="51" spans="1:16" ht="13.5" thickBot="1">
      <c r="A51" s="150">
        <v>60</v>
      </c>
      <c r="B51" s="159">
        <v>555885</v>
      </c>
      <c r="C51" s="159">
        <v>1003086</v>
      </c>
      <c r="D51" s="159">
        <v>1792881</v>
      </c>
      <c r="E51" s="159">
        <v>3180478</v>
      </c>
      <c r="F51" s="159">
        <v>5604871</v>
      </c>
      <c r="G51" s="159">
        <v>9818938</v>
      </c>
      <c r="H51" s="159">
        <v>17101594</v>
      </c>
      <c r="J51" s="160">
        <f t="shared" si="1"/>
        <v>2.9002466879916922E-2</v>
      </c>
      <c r="K51" s="160">
        <f t="shared" si="2"/>
        <v>3.9175668432056998E-2</v>
      </c>
      <c r="L51" s="160">
        <f t="shared" si="3"/>
        <v>4.9282728756781191E-2</v>
      </c>
      <c r="M51" s="160">
        <f t="shared" si="4"/>
        <v>5.9355046820142698E-2</v>
      </c>
      <c r="N51" s="160">
        <f t="shared" si="5"/>
        <v>6.9406354431796657E-2</v>
      </c>
      <c r="O51" s="160">
        <f t="shared" si="6"/>
        <v>7.9446382647722968E-2</v>
      </c>
      <c r="P51" s="160">
        <f t="shared" si="7"/>
        <v>8.9475018857273048E-2</v>
      </c>
    </row>
    <row r="52" spans="1:16" s="153" customFormat="1">
      <c r="I52" s="162" t="s">
        <v>0</v>
      </c>
    </row>
    <row r="53" spans="1:16" s="153" customFormat="1" ht="13.5" thickBot="1">
      <c r="I53" s="163">
        <f>SUM(J53:P53)</f>
        <v>5.3252500601474351E-2</v>
      </c>
      <c r="J53" s="160">
        <f>IF(Hilfe!$E$3='FSX (Einzel)'!J2,VLOOKUP(Hilfe!$B$54,$A$3:$P$51,10),0)</f>
        <v>0</v>
      </c>
      <c r="K53" s="160">
        <f>IF(Hilfe!$E$3='FSX (Einzel)'!K2,VLOOKUP(Hilfe!$B$54,$A$3:$P$51,11),0)</f>
        <v>0</v>
      </c>
      <c r="L53" s="160">
        <f>IF(Hilfe!$E$3='FSX (Einzel)'!L2,VLOOKUP(Hilfe!$B$54,$A$3:$P$51,12),0)</f>
        <v>0</v>
      </c>
      <c r="M53" s="160">
        <f>IF(Hilfe!$E$3='FSX (Einzel)'!M2,VLOOKUP(Hilfe!$B$54,$A$3:$P$51,13),0)</f>
        <v>5.3252500601474351E-2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9"/>
  <dimension ref="A1:P53"/>
  <sheetViews>
    <sheetView topLeftCell="A28"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131</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9">
        <v>134903</v>
      </c>
      <c r="C3" s="159">
        <v>151543</v>
      </c>
      <c r="D3" s="159">
        <v>170037</v>
      </c>
      <c r="E3" s="159">
        <v>190563</v>
      </c>
      <c r="F3" s="159">
        <v>213425</v>
      </c>
      <c r="G3" s="159">
        <v>238827</v>
      </c>
      <c r="H3" s="159">
        <v>266943</v>
      </c>
      <c r="J3" s="160">
        <f>(B3/100000)^(1/$A3)-1</f>
        <v>2.5262644160982672E-2</v>
      </c>
      <c r="K3" s="160">
        <f t="shared" ref="K3:P18" si="0">(C3/100000)^(1/$A3)-1</f>
        <v>3.5248611536575103E-2</v>
      </c>
      <c r="L3" s="160">
        <f t="shared" si="0"/>
        <v>4.5230208325047538E-2</v>
      </c>
      <c r="M3" s="160">
        <f t="shared" si="0"/>
        <v>5.5204290585266103E-2</v>
      </c>
      <c r="N3" s="160">
        <f t="shared" si="0"/>
        <v>6.5214593110640928E-2</v>
      </c>
      <c r="O3" s="160">
        <f t="shared" si="0"/>
        <v>7.5243812158807932E-2</v>
      </c>
      <c r="P3" s="160">
        <f t="shared" si="0"/>
        <v>8.5262703296801412E-2</v>
      </c>
    </row>
    <row r="4" spans="1:16">
      <c r="A4" s="150">
        <v>13</v>
      </c>
      <c r="B4" s="159">
        <v>138921</v>
      </c>
      <c r="C4" s="159">
        <v>157575</v>
      </c>
      <c r="D4" s="159">
        <v>178510</v>
      </c>
      <c r="E4" s="159">
        <v>201984</v>
      </c>
      <c r="F4" s="159">
        <v>228449</v>
      </c>
      <c r="G4" s="159">
        <v>258032</v>
      </c>
      <c r="H4" s="159">
        <v>291083</v>
      </c>
      <c r="J4" s="160">
        <f t="shared" ref="J4:P51" si="1">(B4/100000)^(1/$A4)-1</f>
        <v>2.5609762721342744E-2</v>
      </c>
      <c r="K4" s="160">
        <f t="shared" si="0"/>
        <v>3.5598307494244974E-2</v>
      </c>
      <c r="L4" s="160">
        <f t="shared" si="0"/>
        <v>4.5583347167772903E-2</v>
      </c>
      <c r="M4" s="160">
        <f t="shared" si="0"/>
        <v>5.556728234287811E-2</v>
      </c>
      <c r="N4" s="160">
        <f t="shared" si="0"/>
        <v>6.5612175306485332E-2</v>
      </c>
      <c r="O4" s="160">
        <f t="shared" si="0"/>
        <v>7.5640627990154696E-2</v>
      </c>
      <c r="P4" s="160">
        <f t="shared" si="0"/>
        <v>8.5659415668928984E-2</v>
      </c>
    </row>
    <row r="5" spans="1:16">
      <c r="A5" s="150">
        <v>14</v>
      </c>
      <c r="B5" s="159">
        <v>143059</v>
      </c>
      <c r="C5" s="159">
        <v>163848</v>
      </c>
      <c r="D5" s="159">
        <v>187405</v>
      </c>
      <c r="E5" s="159">
        <v>214180</v>
      </c>
      <c r="F5" s="159">
        <v>244533</v>
      </c>
      <c r="G5" s="159">
        <v>278784</v>
      </c>
      <c r="H5" s="159">
        <v>317501</v>
      </c>
      <c r="J5" s="160">
        <f t="shared" si="1"/>
        <v>2.5907553658589544E-2</v>
      </c>
      <c r="K5" s="160">
        <f t="shared" si="0"/>
        <v>3.5898548679154541E-2</v>
      </c>
      <c r="L5" s="160">
        <f t="shared" si="0"/>
        <v>4.5886047896400051E-2</v>
      </c>
      <c r="M5" s="160">
        <f t="shared" si="0"/>
        <v>5.5910394885867687E-2</v>
      </c>
      <c r="N5" s="160">
        <f t="shared" si="0"/>
        <v>6.5953822088338221E-2</v>
      </c>
      <c r="O5" s="160">
        <f t="shared" si="0"/>
        <v>7.5981603484600369E-2</v>
      </c>
      <c r="P5" s="160">
        <f t="shared" si="0"/>
        <v>8.602278147671627E-2</v>
      </c>
    </row>
    <row r="6" spans="1:16">
      <c r="A6" s="150">
        <v>15</v>
      </c>
      <c r="B6" s="159">
        <v>147321</v>
      </c>
      <c r="C6" s="159">
        <v>170373</v>
      </c>
      <c r="D6" s="159">
        <v>196746</v>
      </c>
      <c r="E6" s="159">
        <v>227114</v>
      </c>
      <c r="F6" s="159">
        <v>261751</v>
      </c>
      <c r="G6" s="159">
        <v>301207</v>
      </c>
      <c r="H6" s="159">
        <v>346392</v>
      </c>
      <c r="J6" s="160">
        <f t="shared" si="1"/>
        <v>2.616605390819049E-2</v>
      </c>
      <c r="K6" s="160">
        <f t="shared" si="0"/>
        <v>3.6159750226207432E-2</v>
      </c>
      <c r="L6" s="160">
        <f t="shared" si="0"/>
        <v>4.6149441264505597E-2</v>
      </c>
      <c r="M6" s="160">
        <f t="shared" si="0"/>
        <v>5.6208343218303147E-2</v>
      </c>
      <c r="N6" s="160">
        <f t="shared" si="0"/>
        <v>6.6250439781182058E-2</v>
      </c>
      <c r="O6" s="160">
        <f t="shared" si="0"/>
        <v>7.6277688583755943E-2</v>
      </c>
      <c r="P6" s="160">
        <f t="shared" si="0"/>
        <v>8.6353555829155271E-2</v>
      </c>
    </row>
    <row r="7" spans="1:16">
      <c r="A7" s="150">
        <v>16</v>
      </c>
      <c r="B7" s="159">
        <v>151711</v>
      </c>
      <c r="C7" s="159">
        <v>177158</v>
      </c>
      <c r="D7" s="159">
        <v>206613</v>
      </c>
      <c r="E7" s="159">
        <v>240832</v>
      </c>
      <c r="F7" s="159">
        <v>280183</v>
      </c>
      <c r="G7" s="159">
        <v>325599</v>
      </c>
      <c r="H7" s="159">
        <v>377914</v>
      </c>
      <c r="J7" s="160">
        <f t="shared" si="1"/>
        <v>2.6392729275327209E-2</v>
      </c>
      <c r="K7" s="160">
        <f t="shared" si="0"/>
        <v>3.6388411071087035E-2</v>
      </c>
      <c r="L7" s="160">
        <f t="shared" si="0"/>
        <v>4.639908863235287E-2</v>
      </c>
      <c r="M7" s="160">
        <f t="shared" si="0"/>
        <v>5.6469921859911398E-2</v>
      </c>
      <c r="N7" s="160">
        <f t="shared" si="0"/>
        <v>6.6510440569961027E-2</v>
      </c>
      <c r="O7" s="160">
        <f t="shared" si="0"/>
        <v>7.6571035985095959E-2</v>
      </c>
      <c r="P7" s="160">
        <f t="shared" si="0"/>
        <v>8.6643436912288596E-2</v>
      </c>
    </row>
    <row r="8" spans="1:16">
      <c r="A8" s="150">
        <v>17</v>
      </c>
      <c r="B8" s="159">
        <v>156232</v>
      </c>
      <c r="C8" s="159">
        <v>184214</v>
      </c>
      <c r="D8" s="159">
        <v>217022</v>
      </c>
      <c r="E8" s="159">
        <v>255379</v>
      </c>
      <c r="F8" s="159">
        <v>299915</v>
      </c>
      <c r="G8" s="159">
        <v>351968</v>
      </c>
      <c r="H8" s="159">
        <v>412308</v>
      </c>
      <c r="J8" s="160">
        <f t="shared" si="1"/>
        <v>2.6592849245217431E-2</v>
      </c>
      <c r="K8" s="160">
        <f t="shared" si="0"/>
        <v>3.6590474551915664E-2</v>
      </c>
      <c r="L8" s="160">
        <f t="shared" si="0"/>
        <v>4.66327954570398E-2</v>
      </c>
      <c r="M8" s="160">
        <f t="shared" si="0"/>
        <v>5.670088106221649E-2</v>
      </c>
      <c r="N8" s="160">
        <f t="shared" si="0"/>
        <v>6.6740335459884781E-2</v>
      </c>
      <c r="O8" s="160">
        <f t="shared" si="0"/>
        <v>7.6830246973232486E-2</v>
      </c>
      <c r="P8" s="160">
        <f t="shared" si="0"/>
        <v>8.6899816371746708E-2</v>
      </c>
    </row>
    <row r="9" spans="1:16">
      <c r="A9" s="150">
        <v>18</v>
      </c>
      <c r="B9" s="159">
        <v>160889</v>
      </c>
      <c r="C9" s="159">
        <v>191553</v>
      </c>
      <c r="D9" s="159">
        <v>227957</v>
      </c>
      <c r="E9" s="159">
        <v>270807</v>
      </c>
      <c r="F9" s="159">
        <v>321187</v>
      </c>
      <c r="G9" s="159">
        <v>380475</v>
      </c>
      <c r="H9" s="159">
        <v>449834</v>
      </c>
      <c r="J9" s="160">
        <f t="shared" si="1"/>
        <v>2.6771218056316215E-2</v>
      </c>
      <c r="K9" s="160">
        <f t="shared" si="0"/>
        <v>3.6770711254761501E-2</v>
      </c>
      <c r="L9" s="160">
        <f t="shared" si="0"/>
        <v>4.6840987591070249E-2</v>
      </c>
      <c r="M9" s="160">
        <f t="shared" si="0"/>
        <v>5.6906722695371226E-2</v>
      </c>
      <c r="N9" s="160">
        <f t="shared" si="0"/>
        <v>6.6972484812900079E-2</v>
      </c>
      <c r="O9" s="160">
        <f t="shared" si="0"/>
        <v>7.706109868628741E-2</v>
      </c>
      <c r="P9" s="160">
        <f t="shared" si="0"/>
        <v>8.7128001382985376E-2</v>
      </c>
    </row>
    <row r="10" spans="1:16">
      <c r="A10" s="150">
        <v>19</v>
      </c>
      <c r="B10" s="159">
        <v>165686</v>
      </c>
      <c r="C10" s="159">
        <v>199185</v>
      </c>
      <c r="D10" s="159">
        <v>239444</v>
      </c>
      <c r="E10" s="159">
        <v>287168</v>
      </c>
      <c r="F10" s="159">
        <v>343983</v>
      </c>
      <c r="G10" s="159">
        <v>411293</v>
      </c>
      <c r="H10" s="159">
        <v>490779</v>
      </c>
      <c r="J10" s="160">
        <f t="shared" si="1"/>
        <v>2.6931223402279381E-2</v>
      </c>
      <c r="K10" s="160">
        <f t="shared" si="0"/>
        <v>3.6932171471033115E-2</v>
      </c>
      <c r="L10" s="160">
        <f t="shared" si="0"/>
        <v>4.7027535204773097E-2</v>
      </c>
      <c r="M10" s="160">
        <f t="shared" si="0"/>
        <v>5.7091116964991917E-2</v>
      </c>
      <c r="N10" s="160">
        <f t="shared" si="0"/>
        <v>6.7182729706977362E-2</v>
      </c>
      <c r="O10" s="160">
        <f t="shared" si="0"/>
        <v>7.726798552683678E-2</v>
      </c>
      <c r="P10" s="160">
        <f t="shared" si="0"/>
        <v>8.7332626198557417E-2</v>
      </c>
    </row>
    <row r="11" spans="1:16">
      <c r="A11" s="150">
        <v>20</v>
      </c>
      <c r="B11" s="159">
        <v>170627</v>
      </c>
      <c r="C11" s="159">
        <v>207208</v>
      </c>
      <c r="D11" s="159">
        <v>251512</v>
      </c>
      <c r="E11" s="159">
        <v>304558</v>
      </c>
      <c r="F11" s="159">
        <v>368399</v>
      </c>
      <c r="G11" s="159">
        <v>444610</v>
      </c>
      <c r="H11" s="159">
        <v>535453</v>
      </c>
      <c r="J11" s="160">
        <f t="shared" si="1"/>
        <v>2.7075542867961211E-2</v>
      </c>
      <c r="K11" s="160">
        <f t="shared" si="0"/>
        <v>3.7099263732867982E-2</v>
      </c>
      <c r="L11" s="160">
        <f t="shared" si="0"/>
        <v>4.7195905658117265E-2</v>
      </c>
      <c r="M11" s="160">
        <f t="shared" si="0"/>
        <v>5.7264136151037093E-2</v>
      </c>
      <c r="N11" s="160">
        <f t="shared" si="0"/>
        <v>6.7372285617372851E-2</v>
      </c>
      <c r="O11" s="160">
        <f t="shared" si="0"/>
        <v>7.7454554567540246E-2</v>
      </c>
      <c r="P11" s="160">
        <f t="shared" si="0"/>
        <v>8.751703321051596E-2</v>
      </c>
    </row>
    <row r="12" spans="1:16">
      <c r="A12" s="150">
        <v>21</v>
      </c>
      <c r="B12" s="159">
        <v>175715</v>
      </c>
      <c r="C12" s="159">
        <v>215574</v>
      </c>
      <c r="D12" s="159">
        <v>264189</v>
      </c>
      <c r="E12" s="159">
        <v>323124</v>
      </c>
      <c r="F12" s="159">
        <v>394551</v>
      </c>
      <c r="G12" s="159">
        <v>480628</v>
      </c>
      <c r="H12" s="159">
        <v>584197</v>
      </c>
      <c r="J12" s="160">
        <f t="shared" si="1"/>
        <v>2.7206038257923115E-2</v>
      </c>
      <c r="K12" s="160">
        <f t="shared" si="0"/>
        <v>3.7255011768754898E-2</v>
      </c>
      <c r="L12" s="160">
        <f t="shared" si="0"/>
        <v>4.7348409836936334E-2</v>
      </c>
      <c r="M12" s="160">
        <f t="shared" si="0"/>
        <v>5.74398598616217E-2</v>
      </c>
      <c r="N12" s="160">
        <f t="shared" si="0"/>
        <v>6.7544197192821454E-2</v>
      </c>
      <c r="O12" s="160">
        <f t="shared" si="0"/>
        <v>7.762361138450169E-2</v>
      </c>
      <c r="P12" s="160">
        <f t="shared" si="0"/>
        <v>8.7684212472986856E-2</v>
      </c>
    </row>
    <row r="13" spans="1:16">
      <c r="A13" s="150">
        <v>22</v>
      </c>
      <c r="B13" s="159">
        <v>180956</v>
      </c>
      <c r="C13" s="159">
        <v>224278</v>
      </c>
      <c r="D13" s="159">
        <v>277507</v>
      </c>
      <c r="E13" s="159">
        <v>342823</v>
      </c>
      <c r="F13" s="159">
        <v>422561</v>
      </c>
      <c r="G13" s="159">
        <v>519567</v>
      </c>
      <c r="H13" s="159">
        <v>637380</v>
      </c>
      <c r="J13" s="160">
        <f t="shared" si="1"/>
        <v>2.7325014803715186E-2</v>
      </c>
      <c r="K13" s="160">
        <f t="shared" si="0"/>
        <v>3.7396668217448914E-2</v>
      </c>
      <c r="L13" s="160">
        <f t="shared" si="0"/>
        <v>4.7487419133653841E-2</v>
      </c>
      <c r="M13" s="160">
        <f t="shared" si="0"/>
        <v>5.7599803404883243E-2</v>
      </c>
      <c r="N13" s="160">
        <f t="shared" si="0"/>
        <v>6.7700678506051881E-2</v>
      </c>
      <c r="O13" s="160">
        <f t="shared" si="0"/>
        <v>7.7777621332969726E-2</v>
      </c>
      <c r="P13" s="160">
        <f t="shared" si="0"/>
        <v>8.7836346076164418E-2</v>
      </c>
    </row>
    <row r="14" spans="1:16">
      <c r="A14" s="150">
        <v>23</v>
      </c>
      <c r="B14" s="159">
        <v>186355</v>
      </c>
      <c r="C14" s="159">
        <v>233336</v>
      </c>
      <c r="D14" s="159">
        <v>291498</v>
      </c>
      <c r="E14" s="159">
        <v>363726</v>
      </c>
      <c r="F14" s="159">
        <v>452561</v>
      </c>
      <c r="G14" s="159">
        <v>561663</v>
      </c>
      <c r="H14" s="159">
        <v>695408</v>
      </c>
      <c r="J14" s="160">
        <f t="shared" si="1"/>
        <v>2.7434059885655282E-2</v>
      </c>
      <c r="K14" s="160">
        <f t="shared" si="0"/>
        <v>3.75265200600714E-2</v>
      </c>
      <c r="L14" s="160">
        <f t="shared" si="0"/>
        <v>4.7614611149112696E-2</v>
      </c>
      <c r="M14" s="160">
        <f t="shared" si="0"/>
        <v>5.7746247602867173E-2</v>
      </c>
      <c r="N14" s="160">
        <f t="shared" si="0"/>
        <v>6.7843727851549795E-2</v>
      </c>
      <c r="O14" s="160">
        <f t="shared" si="0"/>
        <v>7.7918448762889447E-2</v>
      </c>
      <c r="P14" s="160">
        <f t="shared" si="0"/>
        <v>8.7975502475810652E-2</v>
      </c>
    </row>
    <row r="15" spans="1:16">
      <c r="A15" s="150">
        <v>24</v>
      </c>
      <c r="B15" s="159">
        <v>191915</v>
      </c>
      <c r="C15" s="159">
        <v>242760</v>
      </c>
      <c r="D15" s="159">
        <v>306246</v>
      </c>
      <c r="E15" s="159">
        <v>385904</v>
      </c>
      <c r="F15" s="159">
        <v>484694</v>
      </c>
      <c r="G15" s="159">
        <v>607172</v>
      </c>
      <c r="H15" s="159">
        <v>758723</v>
      </c>
      <c r="J15" s="160">
        <f t="shared" si="1"/>
        <v>2.7534009201532372E-2</v>
      </c>
      <c r="K15" s="160">
        <f t="shared" si="0"/>
        <v>3.7645595674815624E-2</v>
      </c>
      <c r="L15" s="160">
        <f t="shared" si="0"/>
        <v>4.7738576391988197E-2</v>
      </c>
      <c r="M15" s="160">
        <f t="shared" si="0"/>
        <v>5.7880560544407267E-2</v>
      </c>
      <c r="N15" s="160">
        <f t="shared" si="0"/>
        <v>6.7975160615077357E-2</v>
      </c>
      <c r="O15" s="160">
        <f t="shared" si="0"/>
        <v>7.8047728879529155E-2</v>
      </c>
      <c r="P15" s="160">
        <f t="shared" si="0"/>
        <v>8.8103319957438364E-2</v>
      </c>
    </row>
    <row r="16" spans="1:16">
      <c r="A16" s="150">
        <v>25</v>
      </c>
      <c r="B16" s="159">
        <v>197643</v>
      </c>
      <c r="C16" s="159">
        <v>252567</v>
      </c>
      <c r="D16" s="159">
        <v>321850</v>
      </c>
      <c r="E16" s="159">
        <v>409437</v>
      </c>
      <c r="F16" s="159">
        <v>519111</v>
      </c>
      <c r="G16" s="159">
        <v>656371</v>
      </c>
      <c r="H16" s="159">
        <v>827804</v>
      </c>
      <c r="J16" s="160">
        <f t="shared" si="1"/>
        <v>2.7626410919150857E-2</v>
      </c>
      <c r="K16" s="160">
        <f t="shared" si="0"/>
        <v>3.7755548876061917E-2</v>
      </c>
      <c r="L16" s="160">
        <f t="shared" si="0"/>
        <v>4.7866944517612309E-2</v>
      </c>
      <c r="M16" s="160">
        <f t="shared" si="0"/>
        <v>5.8004423440083608E-2</v>
      </c>
      <c r="N16" s="160">
        <f t="shared" si="0"/>
        <v>6.8096296660399069E-2</v>
      </c>
      <c r="O16" s="160">
        <f t="shared" si="0"/>
        <v>7.8166851940102422E-2</v>
      </c>
      <c r="P16" s="160">
        <f t="shared" si="0"/>
        <v>8.8220995874918939E-2</v>
      </c>
    </row>
    <row r="17" spans="1:16">
      <c r="A17" s="150">
        <v>26</v>
      </c>
      <c r="B17" s="159">
        <v>203601</v>
      </c>
      <c r="C17" s="159">
        <v>262771</v>
      </c>
      <c r="D17" s="159">
        <v>338250</v>
      </c>
      <c r="E17" s="159">
        <v>434407</v>
      </c>
      <c r="F17" s="159">
        <v>555974</v>
      </c>
      <c r="G17" s="159">
        <v>709559</v>
      </c>
      <c r="H17" s="159">
        <v>903178</v>
      </c>
      <c r="J17" s="160">
        <f t="shared" si="1"/>
        <v>2.7723175821105395E-2</v>
      </c>
      <c r="K17" s="160">
        <f t="shared" si="0"/>
        <v>3.7857178675868353E-2</v>
      </c>
      <c r="L17" s="160">
        <f t="shared" si="0"/>
        <v>4.7985563806427933E-2</v>
      </c>
      <c r="M17" s="160">
        <f t="shared" si="0"/>
        <v>5.8118951414433351E-2</v>
      </c>
      <c r="N17" s="160">
        <f t="shared" si="0"/>
        <v>6.8208284028598465E-2</v>
      </c>
      <c r="O17" s="160">
        <f t="shared" si="0"/>
        <v>7.827696463738687E-2</v>
      </c>
      <c r="P17" s="160">
        <f t="shared" si="0"/>
        <v>8.8329781318191358E-2</v>
      </c>
    </row>
    <row r="18" spans="1:16">
      <c r="A18" s="150">
        <v>27</v>
      </c>
      <c r="B18" s="159">
        <v>209784</v>
      </c>
      <c r="C18" s="159">
        <v>273388</v>
      </c>
      <c r="D18" s="159">
        <v>355487</v>
      </c>
      <c r="E18" s="159">
        <v>460902</v>
      </c>
      <c r="F18" s="159">
        <v>595457</v>
      </c>
      <c r="G18" s="159">
        <v>767059</v>
      </c>
      <c r="H18" s="159">
        <v>985418</v>
      </c>
      <c r="J18" s="160">
        <f t="shared" si="1"/>
        <v>2.78210192352637E-2</v>
      </c>
      <c r="K18" s="160">
        <f t="shared" si="0"/>
        <v>3.7951394194012167E-2</v>
      </c>
      <c r="L18" s="160">
        <f t="shared" si="0"/>
        <v>4.8095553819194503E-2</v>
      </c>
      <c r="M18" s="160">
        <f t="shared" si="0"/>
        <v>5.8225191844013313E-2</v>
      </c>
      <c r="N18" s="160">
        <f t="shared" si="0"/>
        <v>6.8312138837011371E-2</v>
      </c>
      <c r="O18" s="160">
        <f t="shared" si="0"/>
        <v>7.8379034659874502E-2</v>
      </c>
      <c r="P18" s="160">
        <f t="shared" si="0"/>
        <v>8.8430639964388824E-2</v>
      </c>
    </row>
    <row r="19" spans="1:16">
      <c r="A19" s="150">
        <v>28</v>
      </c>
      <c r="B19" s="159">
        <v>216156</v>
      </c>
      <c r="C19" s="159">
        <v>284436</v>
      </c>
      <c r="D19" s="159">
        <v>373605</v>
      </c>
      <c r="E19" s="159">
        <v>489014</v>
      </c>
      <c r="F19" s="159">
        <v>637746</v>
      </c>
      <c r="G19" s="159">
        <v>829222</v>
      </c>
      <c r="H19" s="159">
        <v>1075149</v>
      </c>
      <c r="J19" s="160">
        <f t="shared" si="1"/>
        <v>2.7912091633732095E-2</v>
      </c>
      <c r="K19" s="160">
        <f t="shared" si="1"/>
        <v>3.8039152370295648E-2</v>
      </c>
      <c r="L19" s="160">
        <f t="shared" si="1"/>
        <v>4.8197959634590504E-2</v>
      </c>
      <c r="M19" s="160">
        <f t="shared" si="1"/>
        <v>5.8323933484838442E-2</v>
      </c>
      <c r="N19" s="160">
        <f t="shared" si="1"/>
        <v>6.8408708863857193E-2</v>
      </c>
      <c r="O19" s="160">
        <f t="shared" si="1"/>
        <v>7.8473981274108207E-2</v>
      </c>
      <c r="P19" s="160">
        <f t="shared" si="1"/>
        <v>8.852439442258131E-2</v>
      </c>
    </row>
    <row r="20" spans="1:16">
      <c r="A20" s="150">
        <v>29</v>
      </c>
      <c r="B20" s="159">
        <v>222722</v>
      </c>
      <c r="C20" s="159">
        <v>295931</v>
      </c>
      <c r="D20" s="159">
        <v>392648</v>
      </c>
      <c r="E20" s="159">
        <v>518843</v>
      </c>
      <c r="F20" s="159">
        <v>683040</v>
      </c>
      <c r="G20" s="159">
        <v>896425</v>
      </c>
      <c r="H20" s="159">
        <v>1173054</v>
      </c>
      <c r="J20" s="160">
        <f t="shared" si="1"/>
        <v>2.7996963045995527E-2</v>
      </c>
      <c r="K20" s="160">
        <f t="shared" si="1"/>
        <v>3.8120929587035723E-2</v>
      </c>
      <c r="L20" s="160">
        <f t="shared" si="1"/>
        <v>4.8293457920258298E-2</v>
      </c>
      <c r="M20" s="160">
        <f t="shared" si="1"/>
        <v>5.8416039109922657E-2</v>
      </c>
      <c r="N20" s="160">
        <f t="shared" si="1"/>
        <v>6.8498716308064367E-2</v>
      </c>
      <c r="O20" s="160">
        <f t="shared" si="1"/>
        <v>7.856248140932931E-2</v>
      </c>
      <c r="P20" s="160">
        <f t="shared" si="1"/>
        <v>8.8611792750949769E-2</v>
      </c>
    </row>
    <row r="21" spans="1:16">
      <c r="A21" s="150">
        <v>30</v>
      </c>
      <c r="B21" s="159">
        <v>229489</v>
      </c>
      <c r="C21" s="159">
        <v>307982</v>
      </c>
      <c r="D21" s="159">
        <v>412662</v>
      </c>
      <c r="E21" s="159">
        <v>550494</v>
      </c>
      <c r="F21" s="159">
        <v>731554</v>
      </c>
      <c r="G21" s="159">
        <v>969077</v>
      </c>
      <c r="H21" s="159">
        <v>1279878</v>
      </c>
      <c r="J21" s="160">
        <f t="shared" si="1"/>
        <v>2.8076414117295112E-2</v>
      </c>
      <c r="K21" s="160">
        <f t="shared" si="1"/>
        <v>3.820753809958588E-2</v>
      </c>
      <c r="L21" s="160">
        <f t="shared" si="1"/>
        <v>4.8382628014351559E-2</v>
      </c>
      <c r="M21" s="160">
        <f t="shared" si="1"/>
        <v>5.8502170744006765E-2</v>
      </c>
      <c r="N21" s="160">
        <f t="shared" si="1"/>
        <v>6.8582882462288053E-2</v>
      </c>
      <c r="O21" s="160">
        <f t="shared" si="1"/>
        <v>7.8645185962557651E-2</v>
      </c>
      <c r="P21" s="160">
        <f t="shared" si="1"/>
        <v>8.8693472781611993E-2</v>
      </c>
    </row>
    <row r="22" spans="1:16">
      <c r="A22" s="150">
        <v>31</v>
      </c>
      <c r="B22" s="159">
        <v>236462</v>
      </c>
      <c r="C22" s="159">
        <v>320592</v>
      </c>
      <c r="D22" s="159">
        <v>433699</v>
      </c>
      <c r="E22" s="159">
        <v>584077</v>
      </c>
      <c r="F22" s="159">
        <v>783515</v>
      </c>
      <c r="G22" s="159">
        <v>1047620</v>
      </c>
      <c r="H22" s="159">
        <v>1396431</v>
      </c>
      <c r="J22" s="160">
        <f t="shared" si="1"/>
        <v>2.8150800569447521E-2</v>
      </c>
      <c r="K22" s="160">
        <f t="shared" si="1"/>
        <v>3.8295697110100724E-2</v>
      </c>
      <c r="L22" s="160">
        <f t="shared" si="1"/>
        <v>4.8466274253114561E-2</v>
      </c>
      <c r="M22" s="160">
        <f t="shared" si="1"/>
        <v>5.8582821580495548E-2</v>
      </c>
      <c r="N22" s="160">
        <f t="shared" si="1"/>
        <v>6.8661678052360342E-2</v>
      </c>
      <c r="O22" s="160">
        <f t="shared" si="1"/>
        <v>7.8722654098101197E-2</v>
      </c>
      <c r="P22" s="160">
        <f t="shared" si="1"/>
        <v>8.8769916026236739E-2</v>
      </c>
    </row>
    <row r="23" spans="1:16">
      <c r="A23" s="150">
        <v>32</v>
      </c>
      <c r="B23" s="159">
        <v>243647</v>
      </c>
      <c r="C23" s="159">
        <v>333719</v>
      </c>
      <c r="D23" s="159">
        <v>455809</v>
      </c>
      <c r="E23" s="159">
        <v>619710</v>
      </c>
      <c r="F23" s="159">
        <v>839169</v>
      </c>
      <c r="G23" s="159">
        <v>1132530</v>
      </c>
      <c r="H23" s="159">
        <v>1523602</v>
      </c>
      <c r="J23" s="160">
        <f t="shared" si="1"/>
        <v>2.8220559386672894E-2</v>
      </c>
      <c r="K23" s="160">
        <f t="shared" si="1"/>
        <v>3.837842073251263E-2</v>
      </c>
      <c r="L23" s="160">
        <f t="shared" si="1"/>
        <v>4.8544738896903361E-2</v>
      </c>
      <c r="M23" s="160">
        <f t="shared" si="1"/>
        <v>5.8658504700799252E-2</v>
      </c>
      <c r="N23" s="160">
        <f t="shared" si="1"/>
        <v>6.8735645777475263E-2</v>
      </c>
      <c r="O23" s="160">
        <f t="shared" si="1"/>
        <v>7.8795319636840278E-2</v>
      </c>
      <c r="P23" s="160">
        <f t="shared" si="1"/>
        <v>8.8841676180444917E-2</v>
      </c>
    </row>
    <row r="24" spans="1:16">
      <c r="A24" s="150">
        <v>33</v>
      </c>
      <c r="B24" s="159">
        <v>251052</v>
      </c>
      <c r="C24" s="159">
        <v>347385</v>
      </c>
      <c r="D24" s="159">
        <v>479048</v>
      </c>
      <c r="E24" s="159">
        <v>657520</v>
      </c>
      <c r="F24" s="159">
        <v>898779</v>
      </c>
      <c r="G24" s="159">
        <v>1224326</v>
      </c>
      <c r="H24" s="159">
        <v>1662357</v>
      </c>
      <c r="J24" s="160">
        <f t="shared" si="1"/>
        <v>2.828630331134363E-2</v>
      </c>
      <c r="K24" s="160">
        <f t="shared" si="1"/>
        <v>3.8456272705793548E-2</v>
      </c>
      <c r="L24" s="160">
        <f t="shared" si="1"/>
        <v>4.861857490644339E-2</v>
      </c>
      <c r="M24" s="160">
        <f t="shared" si="1"/>
        <v>5.8729758349308936E-2</v>
      </c>
      <c r="N24" s="160">
        <f t="shared" si="1"/>
        <v>6.880523726743859E-2</v>
      </c>
      <c r="O24" s="160">
        <f t="shared" si="1"/>
        <v>7.886369279825689E-2</v>
      </c>
      <c r="P24" s="160">
        <f t="shared" si="1"/>
        <v>8.8909145465289274E-2</v>
      </c>
    </row>
    <row r="25" spans="1:16">
      <c r="A25" s="150">
        <v>34</v>
      </c>
      <c r="B25" s="159">
        <v>258683</v>
      </c>
      <c r="C25" s="159">
        <v>361611</v>
      </c>
      <c r="D25" s="159">
        <v>503473</v>
      </c>
      <c r="E25" s="159">
        <v>697638</v>
      </c>
      <c r="F25" s="159">
        <v>962625</v>
      </c>
      <c r="G25" s="159">
        <v>1323564</v>
      </c>
      <c r="H25" s="159">
        <v>1813751</v>
      </c>
      <c r="J25" s="160">
        <f t="shared" si="1"/>
        <v>2.8348294253379258E-2</v>
      </c>
      <c r="K25" s="160">
        <f t="shared" si="1"/>
        <v>3.8529581637607224E-2</v>
      </c>
      <c r="L25" s="160">
        <f t="shared" si="1"/>
        <v>4.8688144727121907E-2</v>
      </c>
      <c r="M25" s="160">
        <f t="shared" si="1"/>
        <v>5.8796875018465311E-2</v>
      </c>
      <c r="N25" s="160">
        <f t="shared" si="1"/>
        <v>6.8870792509980516E-2</v>
      </c>
      <c r="O25" s="160">
        <f t="shared" si="1"/>
        <v>7.8928085705994189E-2</v>
      </c>
      <c r="P25" s="160">
        <f t="shared" si="1"/>
        <v>8.8972694475310199E-2</v>
      </c>
    </row>
    <row r="26" spans="1:16">
      <c r="A26" s="150">
        <v>35</v>
      </c>
      <c r="B26" s="159">
        <v>266547</v>
      </c>
      <c r="C26" s="159">
        <v>376422</v>
      </c>
      <c r="D26" s="159">
        <v>529145</v>
      </c>
      <c r="E26" s="159">
        <v>740205</v>
      </c>
      <c r="F26" s="159">
        <v>1031008</v>
      </c>
      <c r="G26" s="159">
        <v>1430848</v>
      </c>
      <c r="H26" s="159">
        <v>1978935</v>
      </c>
      <c r="J26" s="160">
        <f t="shared" si="1"/>
        <v>2.8406861741502754E-2</v>
      </c>
      <c r="K26" s="160">
        <f t="shared" si="1"/>
        <v>3.8598897110988073E-2</v>
      </c>
      <c r="L26" s="160">
        <f t="shared" si="1"/>
        <v>4.8753837006190404E-2</v>
      </c>
      <c r="M26" s="160">
        <f t="shared" si="1"/>
        <v>5.8860210854756678E-2</v>
      </c>
      <c r="N26" s="160">
        <f t="shared" si="1"/>
        <v>6.8932653165355795E-2</v>
      </c>
      <c r="O26" s="160">
        <f t="shared" si="1"/>
        <v>7.8988850868976668E-2</v>
      </c>
      <c r="P26" s="160">
        <f t="shared" si="1"/>
        <v>8.9032651071827784E-2</v>
      </c>
    </row>
    <row r="27" spans="1:16">
      <c r="A27" s="150">
        <v>36</v>
      </c>
      <c r="B27" s="159">
        <v>274651</v>
      </c>
      <c r="C27" s="159">
        <v>391840</v>
      </c>
      <c r="D27" s="159">
        <v>556128</v>
      </c>
      <c r="E27" s="159">
        <v>785372</v>
      </c>
      <c r="F27" s="159">
        <v>1104252</v>
      </c>
      <c r="G27" s="159">
        <v>1546831</v>
      </c>
      <c r="H27" s="159">
        <v>2159167</v>
      </c>
      <c r="J27" s="160">
        <f t="shared" si="1"/>
        <v>2.8462275620415145E-2</v>
      </c>
      <c r="K27" s="160">
        <f t="shared" si="1"/>
        <v>3.8664392882456378E-2</v>
      </c>
      <c r="L27" s="160">
        <f t="shared" si="1"/>
        <v>4.881598770187412E-2</v>
      </c>
      <c r="M27" s="160">
        <f t="shared" si="1"/>
        <v>5.8920134014318393E-2</v>
      </c>
      <c r="N27" s="160">
        <f t="shared" si="1"/>
        <v>6.8991166596301667E-2</v>
      </c>
      <c r="O27" s="160">
        <f t="shared" si="1"/>
        <v>7.9046299354251559E-2</v>
      </c>
      <c r="P27" s="160">
        <f t="shared" si="1"/>
        <v>8.9089338264731532E-2</v>
      </c>
    </row>
    <row r="28" spans="1:16">
      <c r="A28" s="150">
        <v>37</v>
      </c>
      <c r="B28" s="159">
        <v>283002</v>
      </c>
      <c r="C28" s="159">
        <v>407891</v>
      </c>
      <c r="D28" s="159">
        <v>584488</v>
      </c>
      <c r="E28" s="159">
        <v>833297</v>
      </c>
      <c r="F28" s="159">
        <v>1182701</v>
      </c>
      <c r="G28" s="159">
        <v>1672218</v>
      </c>
      <c r="H28" s="159">
        <v>2355815</v>
      </c>
      <c r="J28" s="160">
        <f t="shared" si="1"/>
        <v>2.8514756708796885E-2</v>
      </c>
      <c r="K28" s="160">
        <f t="shared" si="1"/>
        <v>3.872645460960733E-2</v>
      </c>
      <c r="L28" s="160">
        <f t="shared" si="1"/>
        <v>4.887483273693416E-2</v>
      </c>
      <c r="M28" s="160">
        <f t="shared" si="1"/>
        <v>5.8976887443744408E-2</v>
      </c>
      <c r="N28" s="160">
        <f t="shared" si="1"/>
        <v>6.9046560679225655E-2</v>
      </c>
      <c r="O28" s="160">
        <f t="shared" si="1"/>
        <v>7.910068967908046E-2</v>
      </c>
      <c r="P28" s="160">
        <f t="shared" si="1"/>
        <v>8.9142980563542196E-2</v>
      </c>
    </row>
    <row r="29" spans="1:16">
      <c r="A29" s="150">
        <v>38</v>
      </c>
      <c r="B29" s="159">
        <v>291607</v>
      </c>
      <c r="C29" s="159">
        <v>424601</v>
      </c>
      <c r="D29" s="159">
        <v>614296</v>
      </c>
      <c r="E29" s="159">
        <v>884148</v>
      </c>
      <c r="F29" s="159">
        <v>1266725</v>
      </c>
      <c r="G29" s="159">
        <v>1807772</v>
      </c>
      <c r="H29" s="159">
        <v>2570377</v>
      </c>
      <c r="J29" s="160">
        <f t="shared" si="1"/>
        <v>2.8564485591845434E-2</v>
      </c>
      <c r="K29" s="160">
        <f t="shared" si="1"/>
        <v>3.8785349955857917E-2</v>
      </c>
      <c r="L29" s="160">
        <f t="shared" si="1"/>
        <v>4.8930663196886215E-2</v>
      </c>
      <c r="M29" s="160">
        <f t="shared" si="1"/>
        <v>5.9030704531473521E-2</v>
      </c>
      <c r="N29" s="160">
        <f t="shared" si="1"/>
        <v>6.9099081339966339E-2</v>
      </c>
      <c r="O29" s="160">
        <f t="shared" si="1"/>
        <v>7.9152267931223097E-2</v>
      </c>
      <c r="P29" s="160">
        <f t="shared" si="1"/>
        <v>8.9193847891482436E-2</v>
      </c>
    </row>
    <row r="30" spans="1:16">
      <c r="A30" s="150">
        <v>39</v>
      </c>
      <c r="B30" s="159">
        <v>300475</v>
      </c>
      <c r="C30" s="159">
        <v>441997</v>
      </c>
      <c r="D30" s="159">
        <v>645626</v>
      </c>
      <c r="E30" s="159">
        <v>938103</v>
      </c>
      <c r="F30" s="159">
        <v>1356721</v>
      </c>
      <c r="G30" s="159">
        <v>1954316</v>
      </c>
      <c r="H30" s="159">
        <v>2804482</v>
      </c>
      <c r="J30" s="160">
        <f t="shared" si="1"/>
        <v>2.8611785446192473E-2</v>
      </c>
      <c r="K30" s="160">
        <f t="shared" si="1"/>
        <v>3.8841315157035483E-2</v>
      </c>
      <c r="L30" s="160">
        <f t="shared" si="1"/>
        <v>4.8983709845576318E-2</v>
      </c>
      <c r="M30" s="160">
        <f t="shared" si="1"/>
        <v>5.9081789645186289E-2</v>
      </c>
      <c r="N30" s="160">
        <f t="shared" si="1"/>
        <v>6.9148963260325491E-2</v>
      </c>
      <c r="O30" s="160">
        <f t="shared" si="1"/>
        <v>7.9201227038482758E-2</v>
      </c>
      <c r="P30" s="160">
        <f t="shared" si="1"/>
        <v>8.9242120843163963E-2</v>
      </c>
    </row>
    <row r="31" spans="1:16">
      <c r="A31" s="150">
        <v>40</v>
      </c>
      <c r="B31" s="159">
        <v>309769</v>
      </c>
      <c r="C31" s="159">
        <v>460106</v>
      </c>
      <c r="D31" s="159">
        <v>678555</v>
      </c>
      <c r="E31" s="159">
        <v>995354</v>
      </c>
      <c r="F31" s="159">
        <v>1453113</v>
      </c>
      <c r="G31" s="159">
        <v>2112741</v>
      </c>
      <c r="H31" s="159">
        <v>3059913</v>
      </c>
      <c r="J31" s="160">
        <f t="shared" si="1"/>
        <v>2.866970281979353E-2</v>
      </c>
      <c r="K31" s="160">
        <f t="shared" si="1"/>
        <v>3.8894500804085519E-2</v>
      </c>
      <c r="L31" s="160">
        <f t="shared" si="1"/>
        <v>4.903415008473555E-2</v>
      </c>
      <c r="M31" s="160">
        <f t="shared" si="1"/>
        <v>5.9130413342864729E-2</v>
      </c>
      <c r="N31" s="160">
        <f t="shared" si="1"/>
        <v>6.9196392348439106E-2</v>
      </c>
      <c r="O31" s="160">
        <f t="shared" si="1"/>
        <v>7.9247761406822548E-2</v>
      </c>
      <c r="P31" s="160">
        <f t="shared" si="1"/>
        <v>8.9288019207332647E-2</v>
      </c>
    </row>
    <row r="32" spans="1:16">
      <c r="A32" s="150">
        <v>41</v>
      </c>
      <c r="B32" s="159">
        <v>319351</v>
      </c>
      <c r="C32" s="159">
        <v>478958</v>
      </c>
      <c r="D32" s="159">
        <v>713164</v>
      </c>
      <c r="E32" s="159">
        <v>1056099</v>
      </c>
      <c r="F32" s="159">
        <v>1556355</v>
      </c>
      <c r="G32" s="159">
        <v>2284012</v>
      </c>
      <c r="H32" s="159">
        <v>3338610</v>
      </c>
      <c r="J32" s="160">
        <f t="shared" si="1"/>
        <v>2.8724839391110368E-2</v>
      </c>
      <c r="K32" s="160">
        <f t="shared" si="1"/>
        <v>3.8945150562492925E-2</v>
      </c>
      <c r="L32" s="160">
        <f t="shared" si="1"/>
        <v>4.9082150560637139E-2</v>
      </c>
      <c r="M32" s="160">
        <f t="shared" si="1"/>
        <v>5.917666865557214E-2</v>
      </c>
      <c r="N32" s="160">
        <f t="shared" si="1"/>
        <v>6.924153597329008E-2</v>
      </c>
      <c r="O32" s="160">
        <f t="shared" si="1"/>
        <v>7.9292066960894525E-2</v>
      </c>
      <c r="P32" s="160">
        <f t="shared" si="1"/>
        <v>8.9331692006296981E-2</v>
      </c>
    </row>
    <row r="33" spans="1:16">
      <c r="A33" s="150">
        <v>42</v>
      </c>
      <c r="B33" s="159">
        <v>329230</v>
      </c>
      <c r="C33" s="159">
        <v>498584</v>
      </c>
      <c r="D33" s="159">
        <v>749541</v>
      </c>
      <c r="E33" s="159">
        <v>1120554</v>
      </c>
      <c r="F33" s="159">
        <v>1666935</v>
      </c>
      <c r="G33" s="159">
        <v>2469169</v>
      </c>
      <c r="H33" s="159">
        <v>3642694</v>
      </c>
      <c r="J33" s="160">
        <f t="shared" si="1"/>
        <v>2.8777397992966636E-2</v>
      </c>
      <c r="K33" s="160">
        <f t="shared" si="1"/>
        <v>3.8993468812526855E-2</v>
      </c>
      <c r="L33" s="160">
        <f t="shared" si="1"/>
        <v>4.9127960772761048E-2</v>
      </c>
      <c r="M33" s="160">
        <f t="shared" si="1"/>
        <v>5.9220786712364859E-2</v>
      </c>
      <c r="N33" s="160">
        <f t="shared" si="1"/>
        <v>6.9284574059031323E-2</v>
      </c>
      <c r="O33" s="160">
        <f t="shared" si="1"/>
        <v>7.9334282970054293E-2</v>
      </c>
      <c r="P33" s="160">
        <f t="shared" si="1"/>
        <v>8.9373310030952613E-2</v>
      </c>
    </row>
    <row r="34" spans="1:16">
      <c r="A34" s="150">
        <v>43</v>
      </c>
      <c r="B34" s="159">
        <v>339415</v>
      </c>
      <c r="C34" s="159">
        <v>519015</v>
      </c>
      <c r="D34" s="159">
        <v>787774</v>
      </c>
      <c r="E34" s="159">
        <v>1188944</v>
      </c>
      <c r="F34" s="159">
        <v>1785373</v>
      </c>
      <c r="G34" s="159">
        <v>2669339</v>
      </c>
      <c r="H34" s="159">
        <v>3974477</v>
      </c>
      <c r="J34" s="160">
        <f t="shared" si="1"/>
        <v>2.8827542491241864E-2</v>
      </c>
      <c r="K34" s="160">
        <f t="shared" si="1"/>
        <v>3.9039578860342372E-2</v>
      </c>
      <c r="L34" s="160">
        <f t="shared" si="1"/>
        <v>4.9171657178099348E-2</v>
      </c>
      <c r="M34" s="160">
        <f t="shared" si="1"/>
        <v>5.9262880032048493E-2</v>
      </c>
      <c r="N34" s="160">
        <f t="shared" si="1"/>
        <v>6.9325629001589562E-2</v>
      </c>
      <c r="O34" s="160">
        <f t="shared" si="1"/>
        <v>7.9374564803745384E-2</v>
      </c>
      <c r="P34" s="160">
        <f t="shared" si="1"/>
        <v>8.941301114968736E-2</v>
      </c>
    </row>
    <row r="35" spans="1:16">
      <c r="A35" s="150">
        <v>44</v>
      </c>
      <c r="B35" s="159">
        <v>349916</v>
      </c>
      <c r="C35" s="159">
        <v>540285</v>
      </c>
      <c r="D35" s="159">
        <v>827959</v>
      </c>
      <c r="E35" s="159">
        <v>1261511</v>
      </c>
      <c r="F35" s="159">
        <v>1912229</v>
      </c>
      <c r="G35" s="159">
        <v>2885739</v>
      </c>
      <c r="H35" s="159">
        <v>4336483</v>
      </c>
      <c r="J35" s="160">
        <f t="shared" si="1"/>
        <v>2.8875471365655603E-2</v>
      </c>
      <c r="K35" s="160">
        <f t="shared" si="1"/>
        <v>3.9083672597841401E-2</v>
      </c>
      <c r="L35" s="160">
        <f t="shared" si="1"/>
        <v>4.921342063665568E-2</v>
      </c>
      <c r="M35" s="160">
        <f t="shared" si="1"/>
        <v>5.9303118837523927E-2</v>
      </c>
      <c r="N35" s="160">
        <f t="shared" si="1"/>
        <v>6.9364855108559942E-2</v>
      </c>
      <c r="O35" s="160">
        <f t="shared" si="1"/>
        <v>7.9413039715506839E-2</v>
      </c>
      <c r="P35" s="160">
        <f t="shared" si="1"/>
        <v>8.9450929683494884E-2</v>
      </c>
    </row>
    <row r="36" spans="1:16">
      <c r="A36" s="150">
        <v>45</v>
      </c>
      <c r="B36" s="159">
        <v>360743</v>
      </c>
      <c r="C36" s="159">
        <v>562427</v>
      </c>
      <c r="D36" s="159">
        <v>870195</v>
      </c>
      <c r="E36" s="159">
        <v>1338507</v>
      </c>
      <c r="F36" s="159">
        <v>2048100</v>
      </c>
      <c r="G36" s="159">
        <v>3119684</v>
      </c>
      <c r="H36" s="159">
        <v>4731463</v>
      </c>
      <c r="J36" s="160">
        <f t="shared" si="1"/>
        <v>2.892134279637526E-2</v>
      </c>
      <c r="K36" s="160">
        <f t="shared" si="1"/>
        <v>3.9125821666034843E-2</v>
      </c>
      <c r="L36" s="160">
        <f t="shared" si="1"/>
        <v>4.9253359775136563E-2</v>
      </c>
      <c r="M36" s="160">
        <f t="shared" si="1"/>
        <v>5.9341568660454813E-2</v>
      </c>
      <c r="N36" s="160">
        <f t="shared" si="1"/>
        <v>6.9402356678398336E-2</v>
      </c>
      <c r="O36" s="160">
        <f t="shared" si="1"/>
        <v>7.9449819142242806E-2</v>
      </c>
      <c r="P36" s="160">
        <f t="shared" si="1"/>
        <v>8.9487171984996117E-2</v>
      </c>
    </row>
    <row r="37" spans="1:16">
      <c r="A37" s="150">
        <v>46</v>
      </c>
      <c r="B37" s="159">
        <v>371906</v>
      </c>
      <c r="C37" s="159">
        <v>585478</v>
      </c>
      <c r="D37" s="159">
        <v>914587</v>
      </c>
      <c r="E37" s="159">
        <v>1420205</v>
      </c>
      <c r="F37" s="159">
        <v>2193628</v>
      </c>
      <c r="G37" s="159">
        <v>3372597</v>
      </c>
      <c r="H37" s="159">
        <v>5162422</v>
      </c>
      <c r="J37" s="160">
        <f t="shared" si="1"/>
        <v>2.8965281521601716E-2</v>
      </c>
      <c r="K37" s="160">
        <f t="shared" si="1"/>
        <v>3.9166200533648832E-2</v>
      </c>
      <c r="L37" s="160">
        <f t="shared" si="1"/>
        <v>4.9291599997315805E-2</v>
      </c>
      <c r="M37" s="160">
        <f t="shared" si="1"/>
        <v>5.9378389715186941E-2</v>
      </c>
      <c r="N37" s="160">
        <f t="shared" si="1"/>
        <v>6.943825927489411E-2</v>
      </c>
      <c r="O37" s="160">
        <f t="shared" si="1"/>
        <v>7.9485016150726118E-2</v>
      </c>
      <c r="P37" s="160">
        <f t="shared" si="1"/>
        <v>8.9521853544971552E-2</v>
      </c>
    </row>
    <row r="38" spans="1:16">
      <c r="A38" s="150">
        <v>47</v>
      </c>
      <c r="B38" s="159">
        <v>383415</v>
      </c>
      <c r="C38" s="159">
        <v>609474</v>
      </c>
      <c r="D38" s="159">
        <v>961245</v>
      </c>
      <c r="E38" s="159">
        <v>1506892</v>
      </c>
      <c r="F38" s="159">
        <v>2349497</v>
      </c>
      <c r="G38" s="159">
        <v>3646017</v>
      </c>
      <c r="H38" s="159">
        <v>5632637</v>
      </c>
      <c r="J38" s="160">
        <f t="shared" si="1"/>
        <v>2.9007384643879641E-2</v>
      </c>
      <c r="K38" s="160">
        <f t="shared" si="1"/>
        <v>3.9204871969340083E-2</v>
      </c>
      <c r="L38" s="160">
        <f t="shared" si="1"/>
        <v>4.9328246636836104E-2</v>
      </c>
      <c r="M38" s="160">
        <f t="shared" si="1"/>
        <v>5.9413681416165653E-2</v>
      </c>
      <c r="N38" s="160">
        <f t="shared" si="1"/>
        <v>6.9472639975247663E-2</v>
      </c>
      <c r="O38" s="160">
        <f t="shared" si="1"/>
        <v>7.9518737438375897E-2</v>
      </c>
      <c r="P38" s="160">
        <f t="shared" si="1"/>
        <v>8.955507133363505E-2</v>
      </c>
    </row>
    <row r="39" spans="1:16">
      <c r="A39" s="150">
        <v>48</v>
      </c>
      <c r="B39" s="159">
        <v>395280</v>
      </c>
      <c r="C39" s="159">
        <v>634455</v>
      </c>
      <c r="D39" s="159">
        <v>1010285</v>
      </c>
      <c r="E39" s="159">
        <v>1598871</v>
      </c>
      <c r="F39" s="159">
        <v>2516445</v>
      </c>
      <c r="G39" s="159">
        <v>3941605</v>
      </c>
      <c r="H39" s="159">
        <v>6145683</v>
      </c>
      <c r="J39" s="160">
        <f t="shared" si="1"/>
        <v>2.9047726548189656E-2</v>
      </c>
      <c r="K39" s="160">
        <f t="shared" si="1"/>
        <v>3.9241985192792317E-2</v>
      </c>
      <c r="L39" s="160">
        <f t="shared" si="1"/>
        <v>4.9363404852375004E-2</v>
      </c>
      <c r="M39" s="160">
        <f t="shared" si="1"/>
        <v>5.9447514317041872E-2</v>
      </c>
      <c r="N39" s="160">
        <f t="shared" si="1"/>
        <v>6.9505621714564869E-2</v>
      </c>
      <c r="O39" s="160">
        <f t="shared" si="1"/>
        <v>7.955106351586716E-2</v>
      </c>
      <c r="P39" s="160">
        <f t="shared" si="1"/>
        <v>8.958691283126341E-2</v>
      </c>
    </row>
    <row r="40" spans="1:16">
      <c r="A40" s="150">
        <v>49</v>
      </c>
      <c r="B40" s="159">
        <v>407514</v>
      </c>
      <c r="C40" s="159">
        <v>660461</v>
      </c>
      <c r="D40" s="159">
        <v>1061828</v>
      </c>
      <c r="E40" s="159">
        <v>1696466</v>
      </c>
      <c r="F40" s="159">
        <v>2695257</v>
      </c>
      <c r="G40" s="159">
        <v>4261159</v>
      </c>
      <c r="H40" s="159">
        <v>6705463</v>
      </c>
      <c r="J40" s="160">
        <f t="shared" si="1"/>
        <v>2.9086517676903068E-2</v>
      </c>
      <c r="K40" s="160">
        <f t="shared" si="1"/>
        <v>3.9277619637769101E-2</v>
      </c>
      <c r="L40" s="160">
        <f t="shared" si="1"/>
        <v>4.9397151694011043E-2</v>
      </c>
      <c r="M40" s="160">
        <f t="shared" si="1"/>
        <v>5.9479989027367397E-2</v>
      </c>
      <c r="N40" s="160">
        <f t="shared" si="1"/>
        <v>6.9537267859467011E-2</v>
      </c>
      <c r="O40" s="160">
        <f t="shared" si="1"/>
        <v>7.9582082668102183E-2</v>
      </c>
      <c r="P40" s="160">
        <f t="shared" si="1"/>
        <v>8.9617467007197416E-2</v>
      </c>
    </row>
    <row r="41" spans="1:16">
      <c r="A41" s="150">
        <v>50</v>
      </c>
      <c r="B41" s="159">
        <v>420126</v>
      </c>
      <c r="C41" s="159">
        <v>687534</v>
      </c>
      <c r="D41" s="159">
        <v>1116002</v>
      </c>
      <c r="E41" s="159">
        <v>1800020</v>
      </c>
      <c r="F41" s="159">
        <v>2886777</v>
      </c>
      <c r="G41" s="159">
        <v>4606622</v>
      </c>
      <c r="H41" s="159">
        <v>7316234</v>
      </c>
      <c r="J41" s="160">
        <f t="shared" si="1"/>
        <v>2.9123726941787886E-2</v>
      </c>
      <c r="K41" s="160">
        <f t="shared" si="1"/>
        <v>3.9311860897329076E-2</v>
      </c>
      <c r="L41" s="160">
        <f t="shared" si="1"/>
        <v>4.942957535352166E-2</v>
      </c>
      <c r="M41" s="160">
        <f t="shared" si="1"/>
        <v>5.9511186951588968E-2</v>
      </c>
      <c r="N41" s="160">
        <f t="shared" si="1"/>
        <v>6.9567664504141868E-2</v>
      </c>
      <c r="O41" s="160">
        <f t="shared" si="1"/>
        <v>7.9611871745033813E-2</v>
      </c>
      <c r="P41" s="160">
        <f t="shared" si="1"/>
        <v>8.9646809939186056E-2</v>
      </c>
    </row>
    <row r="42" spans="1:16">
      <c r="A42" s="150">
        <v>51</v>
      </c>
      <c r="B42" s="159">
        <v>433130</v>
      </c>
      <c r="C42" s="159">
        <v>715717</v>
      </c>
      <c r="D42" s="159">
        <v>1172941</v>
      </c>
      <c r="E42" s="159">
        <v>1909896</v>
      </c>
      <c r="F42" s="159">
        <v>3091908</v>
      </c>
      <c r="G42" s="159">
        <v>4980096</v>
      </c>
      <c r="H42" s="159">
        <v>7982639</v>
      </c>
      <c r="J42" s="160">
        <f t="shared" si="1"/>
        <v>2.9159556366717077E-2</v>
      </c>
      <c r="K42" s="160">
        <f t="shared" si="1"/>
        <v>3.9344767511894752E-2</v>
      </c>
      <c r="L42" s="160">
        <f t="shared" si="1"/>
        <v>4.946074714604376E-2</v>
      </c>
      <c r="M42" s="160">
        <f t="shared" si="1"/>
        <v>5.9541172726317759E-2</v>
      </c>
      <c r="N42" s="160">
        <f t="shared" si="1"/>
        <v>6.9596883105973228E-2</v>
      </c>
      <c r="O42" s="160">
        <f t="shared" si="1"/>
        <v>7.9640508001939336E-2</v>
      </c>
      <c r="P42" s="160">
        <f t="shared" si="1"/>
        <v>8.9675007109130345E-2</v>
      </c>
    </row>
    <row r="43" spans="1:16">
      <c r="A43" s="150">
        <v>52</v>
      </c>
      <c r="B43" s="159">
        <v>446537</v>
      </c>
      <c r="C43" s="159">
        <v>745057</v>
      </c>
      <c r="D43" s="159">
        <v>1232787</v>
      </c>
      <c r="E43" s="159">
        <v>2026482</v>
      </c>
      <c r="F43" s="159">
        <v>3311617</v>
      </c>
      <c r="G43" s="159">
        <v>5383850</v>
      </c>
      <c r="H43" s="159">
        <v>8709747</v>
      </c>
      <c r="J43" s="160">
        <f t="shared" si="1"/>
        <v>2.9194030726841458E-2</v>
      </c>
      <c r="K43" s="160">
        <f t="shared" si="1"/>
        <v>3.9376456112406366E-2</v>
      </c>
      <c r="L43" s="160">
        <f t="shared" si="1"/>
        <v>4.9490752702021856E-2</v>
      </c>
      <c r="M43" s="160">
        <f t="shared" si="1"/>
        <v>5.9570036160550455E-2</v>
      </c>
      <c r="N43" s="160">
        <f t="shared" si="1"/>
        <v>6.9624988798092202E-2</v>
      </c>
      <c r="O43" s="160">
        <f t="shared" si="1"/>
        <v>7.966804834034602E-2</v>
      </c>
      <c r="P43" s="160">
        <f t="shared" si="1"/>
        <v>8.9702127606282156E-2</v>
      </c>
    </row>
    <row r="44" spans="1:16">
      <c r="A44" s="150">
        <v>53</v>
      </c>
      <c r="B44" s="159">
        <v>460360</v>
      </c>
      <c r="C44" s="159">
        <v>775601</v>
      </c>
      <c r="D44" s="159">
        <v>1295687</v>
      </c>
      <c r="E44" s="159">
        <v>2150185</v>
      </c>
      <c r="F44" s="159">
        <v>3546941</v>
      </c>
      <c r="G44" s="159">
        <v>5820341</v>
      </c>
      <c r="H44" s="159">
        <v>9503088</v>
      </c>
      <c r="J44" s="160">
        <f t="shared" si="1"/>
        <v>2.9227247567765069E-2</v>
      </c>
      <c r="K44" s="160">
        <f t="shared" si="1"/>
        <v>3.9406981189181067E-2</v>
      </c>
      <c r="L44" s="160">
        <f t="shared" si="1"/>
        <v>4.9519634836527215E-2</v>
      </c>
      <c r="M44" s="160">
        <f t="shared" si="1"/>
        <v>5.9597813265896304E-2</v>
      </c>
      <c r="N44" s="160">
        <f t="shared" si="1"/>
        <v>6.9652049499337121E-2</v>
      </c>
      <c r="O44" s="160">
        <f t="shared" si="1"/>
        <v>7.9694561406418618E-2</v>
      </c>
      <c r="P44" s="160">
        <f t="shared" si="1"/>
        <v>8.9728232937891894E-2</v>
      </c>
    </row>
    <row r="45" spans="1:16">
      <c r="A45" s="150">
        <v>54</v>
      </c>
      <c r="B45" s="159">
        <v>474611</v>
      </c>
      <c r="C45" s="159">
        <v>807398</v>
      </c>
      <c r="D45" s="159">
        <v>1361798</v>
      </c>
      <c r="E45" s="159">
        <v>2281442</v>
      </c>
      <c r="F45" s="159">
        <v>3798989</v>
      </c>
      <c r="G45" s="159">
        <v>6292222</v>
      </c>
      <c r="H45" s="159">
        <v>10368694</v>
      </c>
      <c r="J45" s="160">
        <f t="shared" si="1"/>
        <v>2.9259238991487191E-2</v>
      </c>
      <c r="K45" s="160">
        <f t="shared" si="1"/>
        <v>3.9436396409326058E-2</v>
      </c>
      <c r="L45" s="160">
        <f t="shared" si="1"/>
        <v>4.9547471967699375E-2</v>
      </c>
      <c r="M45" s="160">
        <f t="shared" si="1"/>
        <v>5.962458610029886E-2</v>
      </c>
      <c r="N45" s="160">
        <f t="shared" si="1"/>
        <v>6.9678118200508843E-2</v>
      </c>
      <c r="O45" s="160">
        <f t="shared" si="1"/>
        <v>7.9720099059199523E-2</v>
      </c>
      <c r="P45" s="160">
        <f t="shared" si="1"/>
        <v>8.9753376448862721E-2</v>
      </c>
    </row>
    <row r="46" spans="1:16">
      <c r="A46" s="150">
        <v>55</v>
      </c>
      <c r="B46" s="159">
        <v>489304</v>
      </c>
      <c r="C46" s="159">
        <v>840499</v>
      </c>
      <c r="D46" s="159">
        <v>1431283</v>
      </c>
      <c r="E46" s="159">
        <v>2420713</v>
      </c>
      <c r="F46" s="159">
        <v>4068950</v>
      </c>
      <c r="G46" s="159">
        <v>6802363</v>
      </c>
      <c r="H46" s="159">
        <v>11313147</v>
      </c>
      <c r="J46" s="160">
        <f t="shared" si="1"/>
        <v>2.9290100276638364E-2</v>
      </c>
      <c r="K46" s="160">
        <f t="shared" si="1"/>
        <v>3.9464752470229625E-2</v>
      </c>
      <c r="L46" s="160">
        <f t="shared" si="1"/>
        <v>4.9574307659757677E-2</v>
      </c>
      <c r="M46" s="160">
        <f t="shared" si="1"/>
        <v>5.9650397797365473E-2</v>
      </c>
      <c r="N46" s="160">
        <f t="shared" si="1"/>
        <v>6.970325054627402E-2</v>
      </c>
      <c r="O46" s="160">
        <f t="shared" si="1"/>
        <v>7.9744715865335714E-2</v>
      </c>
      <c r="P46" s="160">
        <f t="shared" si="1"/>
        <v>8.9777609190848651E-2</v>
      </c>
    </row>
    <row r="47" spans="1:16">
      <c r="A47" s="150">
        <v>56</v>
      </c>
      <c r="B47" s="159">
        <v>504452</v>
      </c>
      <c r="C47" s="159">
        <v>874958</v>
      </c>
      <c r="D47" s="159">
        <v>1504316</v>
      </c>
      <c r="E47" s="159">
        <v>2568487</v>
      </c>
      <c r="F47" s="159">
        <v>4358096</v>
      </c>
      <c r="G47" s="159">
        <v>7353866</v>
      </c>
      <c r="H47" s="159">
        <v>12343631</v>
      </c>
      <c r="J47" s="160">
        <f t="shared" si="1"/>
        <v>2.9319865144092905E-2</v>
      </c>
      <c r="K47" s="160">
        <f t="shared" si="1"/>
        <v>3.9492116787206655E-2</v>
      </c>
      <c r="L47" s="160">
        <f t="shared" si="1"/>
        <v>4.9600217552206116E-2</v>
      </c>
      <c r="M47" s="160">
        <f t="shared" si="1"/>
        <v>5.9675296929819543E-2</v>
      </c>
      <c r="N47" s="160">
        <f t="shared" si="1"/>
        <v>6.9727491246897255E-2</v>
      </c>
      <c r="O47" s="160">
        <f t="shared" si="1"/>
        <v>7.97684603012212E-2</v>
      </c>
      <c r="P47" s="160">
        <f t="shared" si="1"/>
        <v>8.9800982711993882E-2</v>
      </c>
    </row>
    <row r="48" spans="1:16">
      <c r="A48" s="150">
        <v>57</v>
      </c>
      <c r="B48" s="159">
        <v>520069</v>
      </c>
      <c r="C48" s="159">
        <v>910831</v>
      </c>
      <c r="D48" s="159">
        <v>1581075</v>
      </c>
      <c r="E48" s="159">
        <v>2725284</v>
      </c>
      <c r="F48" s="159">
        <v>4667792</v>
      </c>
      <c r="G48" s="159">
        <v>7950084</v>
      </c>
      <c r="H48" s="159">
        <v>13467982</v>
      </c>
      <c r="J48" s="160">
        <f t="shared" si="1"/>
        <v>2.9348587984163732E-2</v>
      </c>
      <c r="K48" s="160">
        <f t="shared" si="1"/>
        <v>3.9518546479953676E-2</v>
      </c>
      <c r="L48" s="160">
        <f t="shared" si="1"/>
        <v>4.9625211945010905E-2</v>
      </c>
      <c r="M48" s="160">
        <f t="shared" si="1"/>
        <v>5.9699336879713405E-2</v>
      </c>
      <c r="N48" s="160">
        <f t="shared" si="1"/>
        <v>6.9750893293892169E-2</v>
      </c>
      <c r="O48" s="160">
        <f t="shared" si="1"/>
        <v>7.9791376333457453E-2</v>
      </c>
      <c r="P48" s="160">
        <f t="shared" si="1"/>
        <v>8.9823540838202209E-2</v>
      </c>
    </row>
    <row r="49" spans="1:16">
      <c r="A49" s="150">
        <v>58</v>
      </c>
      <c r="B49" s="159">
        <v>536171</v>
      </c>
      <c r="C49" s="159">
        <v>948175</v>
      </c>
      <c r="D49" s="159">
        <v>1661753</v>
      </c>
      <c r="E49" s="159">
        <v>2891654</v>
      </c>
      <c r="F49" s="159">
        <v>4999497</v>
      </c>
      <c r="G49" s="159">
        <v>8594644</v>
      </c>
      <c r="H49" s="159">
        <v>14694750</v>
      </c>
      <c r="J49" s="160">
        <f t="shared" si="1"/>
        <v>2.9376371571537163E-2</v>
      </c>
      <c r="K49" s="160">
        <f t="shared" si="1"/>
        <v>3.9544069569951823E-2</v>
      </c>
      <c r="L49" s="160">
        <f t="shared" si="1"/>
        <v>4.9649370150511185E-2</v>
      </c>
      <c r="M49" s="160">
        <f t="shared" si="1"/>
        <v>5.9722555337425431E-2</v>
      </c>
      <c r="N49" s="160">
        <f t="shared" si="1"/>
        <v>6.9773493703737977E-2</v>
      </c>
      <c r="O49" s="160">
        <f t="shared" si="1"/>
        <v>7.981350989092495E-2</v>
      </c>
      <c r="P49" s="160">
        <f t="shared" si="1"/>
        <v>8.984532490627406E-2</v>
      </c>
    </row>
    <row r="50" spans="1:16">
      <c r="A50" s="150">
        <v>59</v>
      </c>
      <c r="B50" s="159">
        <v>552771</v>
      </c>
      <c r="C50" s="159">
        <v>987051</v>
      </c>
      <c r="D50" s="159">
        <v>1746549</v>
      </c>
      <c r="E50" s="159">
        <v>3068182</v>
      </c>
      <c r="F50" s="159">
        <v>5354775</v>
      </c>
      <c r="G50" s="159">
        <v>9291463</v>
      </c>
      <c r="H50" s="159">
        <v>16033263</v>
      </c>
      <c r="J50" s="160">
        <f t="shared" si="1"/>
        <v>2.9403197058469388E-2</v>
      </c>
      <c r="K50" s="160">
        <f t="shared" si="1"/>
        <v>3.9568744112050025E-2</v>
      </c>
      <c r="L50" s="160">
        <f t="shared" si="1"/>
        <v>4.9672722378041767E-2</v>
      </c>
      <c r="M50" s="160">
        <f t="shared" si="1"/>
        <v>5.9744996788141158E-2</v>
      </c>
      <c r="N50" s="160">
        <f t="shared" si="1"/>
        <v>6.9795332552899936E-2</v>
      </c>
      <c r="O50" s="160">
        <f t="shared" si="1"/>
        <v>7.9834895037698361E-2</v>
      </c>
      <c r="P50" s="160">
        <f t="shared" si="1"/>
        <v>8.9866372649204829E-2</v>
      </c>
    </row>
    <row r="51" spans="1:16" ht="13.5" thickBot="1">
      <c r="A51" s="150">
        <v>60</v>
      </c>
      <c r="B51" s="159">
        <v>569886</v>
      </c>
      <c r="C51" s="159">
        <v>1027522</v>
      </c>
      <c r="D51" s="159">
        <v>1835673</v>
      </c>
      <c r="E51" s="159">
        <v>3255488</v>
      </c>
      <c r="F51" s="159">
        <v>5735303</v>
      </c>
      <c r="G51" s="159">
        <v>10044781</v>
      </c>
      <c r="H51" s="159">
        <v>17493702</v>
      </c>
      <c r="J51" s="160">
        <f t="shared" si="1"/>
        <v>2.9429160924192566E-2</v>
      </c>
      <c r="K51" s="160">
        <f t="shared" si="1"/>
        <v>3.9592614434652118E-2</v>
      </c>
      <c r="L51" s="160">
        <f t="shared" si="1"/>
        <v>4.9695306472498313E-2</v>
      </c>
      <c r="M51" s="160">
        <f t="shared" si="1"/>
        <v>5.9766698357537118E-2</v>
      </c>
      <c r="N51" s="160">
        <f t="shared" si="1"/>
        <v>6.9816453093467956E-2</v>
      </c>
      <c r="O51" s="160">
        <f t="shared" si="1"/>
        <v>7.9855574435040433E-2</v>
      </c>
      <c r="P51" s="160">
        <f t="shared" si="1"/>
        <v>8.9886723076143316E-2</v>
      </c>
    </row>
    <row r="52" spans="1:16" s="153" customFormat="1">
      <c r="I52" s="162" t="s">
        <v>0</v>
      </c>
    </row>
    <row r="53" spans="1:16" s="153" customFormat="1" ht="13.5" thickBot="1">
      <c r="I53" s="163">
        <f>SUM(J53:P53)</f>
        <v>5.5204290585266103E-2</v>
      </c>
      <c r="J53" s="160">
        <f>IF(Hilfe!$E$3='FSX (Einzel)'!J2,VLOOKUP(Hilfe!$B$54,$A$3:$P$51,10),0)</f>
        <v>0</v>
      </c>
      <c r="K53" s="160">
        <f>IF(Hilfe!$E$3='FSX (Einzel)'!K2,VLOOKUP(Hilfe!$B$54,$A$3:$P$51,11),0)</f>
        <v>0</v>
      </c>
      <c r="L53" s="160">
        <f>IF(Hilfe!$E$3='FSX (Einzel)'!L2,VLOOKUP(Hilfe!$B$54,$A$3:$P$51,12),0)</f>
        <v>0</v>
      </c>
      <c r="M53" s="160">
        <f>IF(Hilfe!$E$3='FSX (Einzel)'!M2,VLOOKUP(Hilfe!$B$54,$A$3:$P$51,13),0)</f>
        <v>5.5204290585266103E-2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dimension ref="A1:P53"/>
  <sheetViews>
    <sheetView topLeftCell="A25"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132</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9">
        <v>131073</v>
      </c>
      <c r="C3" s="159">
        <v>147234</v>
      </c>
      <c r="D3" s="159">
        <v>165195</v>
      </c>
      <c r="E3" s="159">
        <v>185136</v>
      </c>
      <c r="F3" s="159">
        <v>207310</v>
      </c>
      <c r="G3" s="159">
        <v>232001</v>
      </c>
      <c r="H3" s="159">
        <v>259331</v>
      </c>
      <c r="J3" s="160">
        <f>(B3/100000)^(1/$A3)-1</f>
        <v>2.2804829391350978E-2</v>
      </c>
      <c r="K3" s="160">
        <f t="shared" ref="K3:P18" si="0">(C3/100000)^(1/$A3)-1</f>
        <v>3.2763013107160566E-2</v>
      </c>
      <c r="L3" s="160">
        <f t="shared" si="0"/>
        <v>4.2716889664178748E-2</v>
      </c>
      <c r="M3" s="160">
        <f t="shared" si="0"/>
        <v>5.2666752473197187E-2</v>
      </c>
      <c r="N3" s="160">
        <f t="shared" si="0"/>
        <v>6.2637213890116339E-2</v>
      </c>
      <c r="O3" s="160">
        <f t="shared" si="0"/>
        <v>7.2648643979004834E-2</v>
      </c>
      <c r="P3" s="160">
        <f t="shared" si="0"/>
        <v>8.2649474821270275E-2</v>
      </c>
    </row>
    <row r="4" spans="1:16">
      <c r="A4" s="150">
        <v>13</v>
      </c>
      <c r="B4" s="159">
        <v>134295</v>
      </c>
      <c r="C4" s="159">
        <v>152323</v>
      </c>
      <c r="D4" s="159">
        <v>172553</v>
      </c>
      <c r="E4" s="159">
        <v>195228</v>
      </c>
      <c r="F4" s="159">
        <v>220788</v>
      </c>
      <c r="G4" s="159">
        <v>249398</v>
      </c>
      <c r="H4" s="159">
        <v>281363</v>
      </c>
      <c r="J4" s="160">
        <f t="shared" ref="J4:P51" si="1">(B4/100000)^(1/$A4)-1</f>
        <v>2.2941403936255877E-2</v>
      </c>
      <c r="K4" s="160">
        <f t="shared" si="0"/>
        <v>3.2901441281324662E-2</v>
      </c>
      <c r="L4" s="160">
        <f t="shared" si="0"/>
        <v>4.2857115693298864E-2</v>
      </c>
      <c r="M4" s="160">
        <f t="shared" si="0"/>
        <v>5.2808524448485272E-2</v>
      </c>
      <c r="N4" s="160">
        <f t="shared" si="0"/>
        <v>6.28198357419536E-2</v>
      </c>
      <c r="O4" s="160">
        <f t="shared" si="0"/>
        <v>7.2828317273856857E-2</v>
      </c>
      <c r="P4" s="160">
        <f t="shared" si="0"/>
        <v>8.282680719170088E-2</v>
      </c>
    </row>
    <row r="5" spans="1:16">
      <c r="A5" s="150">
        <v>14</v>
      </c>
      <c r="B5" s="159">
        <v>137597</v>
      </c>
      <c r="C5" s="159">
        <v>157589</v>
      </c>
      <c r="D5" s="159">
        <v>180239</v>
      </c>
      <c r="E5" s="159">
        <v>205923</v>
      </c>
      <c r="F5" s="159">
        <v>235145</v>
      </c>
      <c r="G5" s="159">
        <v>268103</v>
      </c>
      <c r="H5" s="159">
        <v>305296</v>
      </c>
      <c r="J5" s="160">
        <f t="shared" si="1"/>
        <v>2.3058905990219536E-2</v>
      </c>
      <c r="K5" s="160">
        <f t="shared" si="0"/>
        <v>3.3020625535508996E-2</v>
      </c>
      <c r="L5" s="160">
        <f t="shared" si="0"/>
        <v>4.2977434022887451E-2</v>
      </c>
      <c r="M5" s="160">
        <f t="shared" si="0"/>
        <v>5.2949371652806443E-2</v>
      </c>
      <c r="N5" s="160">
        <f t="shared" si="0"/>
        <v>6.2977279993324364E-2</v>
      </c>
      <c r="O5" s="160">
        <f t="shared" si="0"/>
        <v>7.2983334750661877E-2</v>
      </c>
      <c r="P5" s="160">
        <f t="shared" si="0"/>
        <v>8.2986235121578211E-2</v>
      </c>
    </row>
    <row r="6" spans="1:16">
      <c r="A6" s="150">
        <v>15</v>
      </c>
      <c r="B6" s="159">
        <v>140981</v>
      </c>
      <c r="C6" s="159">
        <v>163037</v>
      </c>
      <c r="D6" s="159">
        <v>188270</v>
      </c>
      <c r="E6" s="159">
        <v>217261</v>
      </c>
      <c r="F6" s="159">
        <v>250438</v>
      </c>
      <c r="G6" s="159">
        <v>288213</v>
      </c>
      <c r="H6" s="159">
        <v>331406</v>
      </c>
      <c r="J6" s="160">
        <f t="shared" si="1"/>
        <v>2.3161144670005074E-2</v>
      </c>
      <c r="K6" s="160">
        <f t="shared" si="0"/>
        <v>3.3123907576077194E-2</v>
      </c>
      <c r="L6" s="160">
        <f t="shared" si="0"/>
        <v>4.3082697635446143E-2</v>
      </c>
      <c r="M6" s="160">
        <f t="shared" si="0"/>
        <v>5.3089909856396167E-2</v>
      </c>
      <c r="N6" s="160">
        <f t="shared" si="0"/>
        <v>6.3114435169316918E-2</v>
      </c>
      <c r="O6" s="160">
        <f t="shared" si="0"/>
        <v>7.3118226032864886E-2</v>
      </c>
      <c r="P6" s="160">
        <f t="shared" si="0"/>
        <v>8.3155205277728683E-2</v>
      </c>
    </row>
    <row r="7" spans="1:16">
      <c r="A7" s="150">
        <v>16</v>
      </c>
      <c r="B7" s="159">
        <v>144449</v>
      </c>
      <c r="C7" s="159">
        <v>168676</v>
      </c>
      <c r="D7" s="159">
        <v>196660</v>
      </c>
      <c r="E7" s="159">
        <v>229225</v>
      </c>
      <c r="F7" s="159">
        <v>266727</v>
      </c>
      <c r="G7" s="159">
        <v>309899</v>
      </c>
      <c r="H7" s="159">
        <v>359753</v>
      </c>
      <c r="J7" s="160">
        <f t="shared" si="1"/>
        <v>2.3250955194313638E-2</v>
      </c>
      <c r="K7" s="160">
        <f t="shared" si="0"/>
        <v>3.3215305243068149E-2</v>
      </c>
      <c r="L7" s="160">
        <f t="shared" si="0"/>
        <v>4.3175196149338735E-2</v>
      </c>
      <c r="M7" s="160">
        <f t="shared" si="0"/>
        <v>5.3213394795180502E-2</v>
      </c>
      <c r="N7" s="160">
        <f t="shared" si="0"/>
        <v>6.3234808591577263E-2</v>
      </c>
      <c r="O7" s="160">
        <f t="shared" si="0"/>
        <v>7.325089898090531E-2</v>
      </c>
      <c r="P7" s="160">
        <f t="shared" si="0"/>
        <v>8.3303824824817463E-2</v>
      </c>
    </row>
    <row r="8" spans="1:16">
      <c r="A8" s="150">
        <v>17</v>
      </c>
      <c r="B8" s="159">
        <v>148003</v>
      </c>
      <c r="C8" s="159">
        <v>174511</v>
      </c>
      <c r="D8" s="159">
        <v>205486</v>
      </c>
      <c r="E8" s="159">
        <v>241850</v>
      </c>
      <c r="F8" s="159">
        <v>284079</v>
      </c>
      <c r="G8" s="159">
        <v>333317</v>
      </c>
      <c r="H8" s="159">
        <v>390527</v>
      </c>
      <c r="J8" s="160">
        <f t="shared" si="1"/>
        <v>2.3330487147148915E-2</v>
      </c>
      <c r="K8" s="160">
        <f t="shared" si="0"/>
        <v>3.3296292214316292E-2</v>
      </c>
      <c r="L8" s="160">
        <f t="shared" si="0"/>
        <v>4.3275371582999878E-2</v>
      </c>
      <c r="M8" s="160">
        <f t="shared" si="0"/>
        <v>5.3322920965382936E-2</v>
      </c>
      <c r="N8" s="160">
        <f t="shared" si="0"/>
        <v>6.3341809029383134E-2</v>
      </c>
      <c r="O8" s="160">
        <f t="shared" si="0"/>
        <v>7.3386975960877399E-2</v>
      </c>
      <c r="P8" s="160">
        <f t="shared" si="0"/>
        <v>8.3435355801201538E-2</v>
      </c>
    </row>
    <row r="9" spans="1:16">
      <c r="A9" s="150">
        <v>18</v>
      </c>
      <c r="B9" s="159">
        <v>151646</v>
      </c>
      <c r="C9" s="159">
        <v>180549</v>
      </c>
      <c r="D9" s="159">
        <v>214754</v>
      </c>
      <c r="E9" s="159">
        <v>255172</v>
      </c>
      <c r="F9" s="159">
        <v>302574</v>
      </c>
      <c r="G9" s="159">
        <v>358507</v>
      </c>
      <c r="H9" s="159">
        <v>423936</v>
      </c>
      <c r="J9" s="160">
        <f t="shared" si="1"/>
        <v>2.3401771522532089E-2</v>
      </c>
      <c r="K9" s="160">
        <f t="shared" si="0"/>
        <v>3.3368651678562733E-2</v>
      </c>
      <c r="L9" s="160">
        <f t="shared" si="0"/>
        <v>4.3376813133131575E-2</v>
      </c>
      <c r="M9" s="160">
        <f t="shared" si="0"/>
        <v>5.342066652878219E-2</v>
      </c>
      <c r="N9" s="160">
        <f t="shared" si="0"/>
        <v>6.3439694631811205E-2</v>
      </c>
      <c r="O9" s="160">
        <f t="shared" si="0"/>
        <v>7.3508344085656319E-2</v>
      </c>
      <c r="P9" s="160">
        <f t="shared" si="0"/>
        <v>8.3552644845412694E-2</v>
      </c>
    </row>
    <row r="10" spans="1:16">
      <c r="A10" s="150">
        <v>19</v>
      </c>
      <c r="B10" s="159">
        <v>155379</v>
      </c>
      <c r="C10" s="159">
        <v>186796</v>
      </c>
      <c r="D10" s="159">
        <v>224441</v>
      </c>
      <c r="E10" s="159">
        <v>269229</v>
      </c>
      <c r="F10" s="159">
        <v>322424</v>
      </c>
      <c r="G10" s="159">
        <v>385603</v>
      </c>
      <c r="H10" s="159">
        <v>460207</v>
      </c>
      <c r="J10" s="160">
        <f t="shared" si="1"/>
        <v>2.3465670845836062E-2</v>
      </c>
      <c r="K10" s="160">
        <f t="shared" si="0"/>
        <v>3.3433424272804935E-2</v>
      </c>
      <c r="L10" s="160">
        <f t="shared" si="0"/>
        <v>4.3467826493986506E-2</v>
      </c>
      <c r="M10" s="160">
        <f t="shared" si="0"/>
        <v>5.3508372674489824E-2</v>
      </c>
      <c r="N10" s="160">
        <f t="shared" si="0"/>
        <v>6.3553484539099481E-2</v>
      </c>
      <c r="O10" s="160">
        <f t="shared" si="0"/>
        <v>7.3617285061324811E-2</v>
      </c>
      <c r="P10" s="160">
        <f t="shared" si="0"/>
        <v>8.3658083025811791E-2</v>
      </c>
    </row>
    <row r="11" spans="1:16">
      <c r="A11" s="150">
        <v>20</v>
      </c>
      <c r="B11" s="159">
        <v>159205</v>
      </c>
      <c r="C11" s="159">
        <v>193262</v>
      </c>
      <c r="D11" s="159">
        <v>234567</v>
      </c>
      <c r="E11" s="159">
        <v>284064</v>
      </c>
      <c r="F11" s="159">
        <v>343578</v>
      </c>
      <c r="G11" s="159">
        <v>414750</v>
      </c>
      <c r="H11" s="159">
        <v>499584</v>
      </c>
      <c r="J11" s="160">
        <f t="shared" si="1"/>
        <v>2.3523539316292474E-2</v>
      </c>
      <c r="K11" s="160">
        <f t="shared" si="0"/>
        <v>3.3492486094172325E-2</v>
      </c>
      <c r="L11" s="160">
        <f t="shared" si="0"/>
        <v>4.3550200062273836E-2</v>
      </c>
      <c r="M11" s="160">
        <f t="shared" si="0"/>
        <v>5.3587986392339859E-2</v>
      </c>
      <c r="N11" s="160">
        <f t="shared" si="0"/>
        <v>6.3656179048680039E-2</v>
      </c>
      <c r="O11" s="160">
        <f t="shared" si="0"/>
        <v>7.3715740231151239E-2</v>
      </c>
      <c r="P11" s="160">
        <f t="shared" si="0"/>
        <v>8.3753282893845871E-2</v>
      </c>
    </row>
    <row r="12" spans="1:16">
      <c r="A12" s="150">
        <v>21</v>
      </c>
      <c r="B12" s="159">
        <v>163125</v>
      </c>
      <c r="C12" s="159">
        <v>199952</v>
      </c>
      <c r="D12" s="159">
        <v>245151</v>
      </c>
      <c r="E12" s="159">
        <v>299717</v>
      </c>
      <c r="F12" s="159">
        <v>366122</v>
      </c>
      <c r="G12" s="159">
        <v>446104</v>
      </c>
      <c r="H12" s="159">
        <v>542334</v>
      </c>
      <c r="J12" s="160">
        <f t="shared" si="1"/>
        <v>2.3575836536082528E-2</v>
      </c>
      <c r="K12" s="160">
        <f t="shared" si="0"/>
        <v>3.3545969567915224E-2</v>
      </c>
      <c r="L12" s="160">
        <f t="shared" si="0"/>
        <v>4.3624967253208746E-2</v>
      </c>
      <c r="M12" s="160">
        <f t="shared" si="0"/>
        <v>5.3660117608962166E-2</v>
      </c>
      <c r="N12" s="160">
        <f t="shared" si="0"/>
        <v>6.3749392456533549E-2</v>
      </c>
      <c r="O12" s="160">
        <f t="shared" si="0"/>
        <v>7.3805265906245809E-2</v>
      </c>
      <c r="P12" s="160">
        <f t="shared" si="0"/>
        <v>8.383978107599166E-2</v>
      </c>
    </row>
    <row r="13" spans="1:16">
      <c r="A13" s="150">
        <v>22</v>
      </c>
      <c r="B13" s="159">
        <v>167143</v>
      </c>
      <c r="C13" s="159">
        <v>206970</v>
      </c>
      <c r="D13" s="159">
        <v>256215</v>
      </c>
      <c r="E13" s="159">
        <v>316381</v>
      </c>
      <c r="F13" s="159">
        <v>390148</v>
      </c>
      <c r="G13" s="159">
        <v>479830</v>
      </c>
      <c r="H13" s="159">
        <v>588745</v>
      </c>
      <c r="J13" s="160">
        <f t="shared" si="1"/>
        <v>2.3623793894461009E-2</v>
      </c>
      <c r="K13" s="160">
        <f t="shared" si="0"/>
        <v>3.3616485122237139E-2</v>
      </c>
      <c r="L13" s="160">
        <f t="shared" si="0"/>
        <v>4.3693392887784954E-2</v>
      </c>
      <c r="M13" s="160">
        <f t="shared" si="0"/>
        <v>5.3748176544056392E-2</v>
      </c>
      <c r="N13" s="160">
        <f t="shared" si="0"/>
        <v>6.3834481950886701E-2</v>
      </c>
      <c r="O13" s="160">
        <f t="shared" si="0"/>
        <v>7.3886834413797731E-2</v>
      </c>
      <c r="P13" s="160">
        <f t="shared" si="0"/>
        <v>8.3918658723961315E-2</v>
      </c>
    </row>
    <row r="14" spans="1:16">
      <c r="A14" s="150">
        <v>23</v>
      </c>
      <c r="B14" s="159">
        <v>171262</v>
      </c>
      <c r="C14" s="159">
        <v>214244</v>
      </c>
      <c r="D14" s="159">
        <v>267780</v>
      </c>
      <c r="E14" s="159">
        <v>333987</v>
      </c>
      <c r="F14" s="159">
        <v>415754</v>
      </c>
      <c r="G14" s="159">
        <v>516109</v>
      </c>
      <c r="H14" s="159">
        <v>639131</v>
      </c>
      <c r="J14" s="160">
        <f t="shared" si="1"/>
        <v>2.3668110816949639E-2</v>
      </c>
      <c r="K14" s="160">
        <f t="shared" si="0"/>
        <v>3.3682903588644786E-2</v>
      </c>
      <c r="L14" s="160">
        <f t="shared" si="0"/>
        <v>4.3756154815571824E-2</v>
      </c>
      <c r="M14" s="160">
        <f t="shared" si="0"/>
        <v>5.3830710554444439E-2</v>
      </c>
      <c r="N14" s="160">
        <f t="shared" si="0"/>
        <v>6.3912550290859738E-2</v>
      </c>
      <c r="O14" s="160">
        <f t="shared" si="0"/>
        <v>7.3961611606826461E-2</v>
      </c>
      <c r="P14" s="160">
        <f t="shared" si="0"/>
        <v>8.3990926760094453E-2</v>
      </c>
    </row>
    <row r="15" spans="1:16">
      <c r="A15" s="150">
        <v>24</v>
      </c>
      <c r="B15" s="159">
        <v>175482</v>
      </c>
      <c r="C15" s="159">
        <v>221776</v>
      </c>
      <c r="D15" s="159">
        <v>279869</v>
      </c>
      <c r="E15" s="159">
        <v>352574</v>
      </c>
      <c r="F15" s="159">
        <v>443042</v>
      </c>
      <c r="G15" s="159">
        <v>555134</v>
      </c>
      <c r="H15" s="159">
        <v>693833</v>
      </c>
      <c r="J15" s="160">
        <f t="shared" si="1"/>
        <v>2.3708613145577484E-2</v>
      </c>
      <c r="K15" s="160">
        <f t="shared" si="0"/>
        <v>3.3744248099395913E-2</v>
      </c>
      <c r="L15" s="160">
        <f t="shared" si="0"/>
        <v>4.3813997673957994E-2</v>
      </c>
      <c r="M15" s="160">
        <f t="shared" si="0"/>
        <v>5.3906529296258832E-2</v>
      </c>
      <c r="N15" s="160">
        <f t="shared" si="0"/>
        <v>6.3984262032328543E-2</v>
      </c>
      <c r="O15" s="160">
        <f t="shared" si="0"/>
        <v>7.4030405100864227E-2</v>
      </c>
      <c r="P15" s="160">
        <f t="shared" si="0"/>
        <v>8.4057428188851979E-2</v>
      </c>
    </row>
    <row r="16" spans="1:16">
      <c r="A16" s="150">
        <v>25</v>
      </c>
      <c r="B16" s="159">
        <v>179807</v>
      </c>
      <c r="C16" s="159">
        <v>229574</v>
      </c>
      <c r="D16" s="159">
        <v>292505</v>
      </c>
      <c r="E16" s="159">
        <v>372199</v>
      </c>
      <c r="F16" s="159">
        <v>472124</v>
      </c>
      <c r="G16" s="159">
        <v>597112</v>
      </c>
      <c r="H16" s="159">
        <v>753220</v>
      </c>
      <c r="J16" s="160">
        <f t="shared" si="1"/>
        <v>2.3746108234461438E-2</v>
      </c>
      <c r="K16" s="160">
        <f t="shared" si="0"/>
        <v>3.3800905077077559E-2</v>
      </c>
      <c r="L16" s="160">
        <f t="shared" si="0"/>
        <v>4.3867392779194825E-2</v>
      </c>
      <c r="M16" s="160">
        <f t="shared" si="0"/>
        <v>5.3976694990018004E-2</v>
      </c>
      <c r="N16" s="160">
        <f t="shared" si="0"/>
        <v>6.4050507319819205E-2</v>
      </c>
      <c r="O16" s="160">
        <f t="shared" si="0"/>
        <v>7.4093855046471369E-2</v>
      </c>
      <c r="P16" s="160">
        <f t="shared" si="0"/>
        <v>8.4118795060954987E-2</v>
      </c>
    </row>
    <row r="17" spans="1:16">
      <c r="A17" s="150">
        <v>26</v>
      </c>
      <c r="B17" s="159">
        <v>184241</v>
      </c>
      <c r="C17" s="159">
        <v>237647</v>
      </c>
      <c r="D17" s="159">
        <v>305777</v>
      </c>
      <c r="E17" s="159">
        <v>392917</v>
      </c>
      <c r="F17" s="159">
        <v>503118</v>
      </c>
      <c r="G17" s="159">
        <v>642268</v>
      </c>
      <c r="H17" s="159">
        <v>817693</v>
      </c>
      <c r="J17" s="160">
        <f t="shared" si="1"/>
        <v>2.3781234159667486E-2</v>
      </c>
      <c r="K17" s="160">
        <f t="shared" si="0"/>
        <v>3.3853342080819804E-2</v>
      </c>
      <c r="L17" s="160">
        <f t="shared" si="0"/>
        <v>4.3925283037643981E-2</v>
      </c>
      <c r="M17" s="160">
        <f t="shared" si="0"/>
        <v>5.4041532656526226E-2</v>
      </c>
      <c r="N17" s="160">
        <f t="shared" si="0"/>
        <v>6.4111905337732367E-2</v>
      </c>
      <c r="O17" s="160">
        <f t="shared" si="0"/>
        <v>7.4152666641277509E-2</v>
      </c>
      <c r="P17" s="160">
        <f t="shared" si="0"/>
        <v>8.4175592872737459E-2</v>
      </c>
    </row>
    <row r="18" spans="1:16">
      <c r="A18" s="150">
        <v>27</v>
      </c>
      <c r="B18" s="159">
        <v>188784</v>
      </c>
      <c r="C18" s="159">
        <v>246005</v>
      </c>
      <c r="D18" s="159">
        <v>319746</v>
      </c>
      <c r="E18" s="159">
        <v>414792</v>
      </c>
      <c r="F18" s="159">
        <v>536149</v>
      </c>
      <c r="G18" s="159">
        <v>690842</v>
      </c>
      <c r="H18" s="159">
        <v>887689</v>
      </c>
      <c r="J18" s="160">
        <f t="shared" si="1"/>
        <v>2.3813690658084363E-2</v>
      </c>
      <c r="K18" s="160">
        <f t="shared" si="0"/>
        <v>3.3902070308598375E-2</v>
      </c>
      <c r="L18" s="160">
        <f t="shared" si="0"/>
        <v>4.3990353839805429E-2</v>
      </c>
      <c r="M18" s="160">
        <f t="shared" si="0"/>
        <v>5.4101924797923751E-2</v>
      </c>
      <c r="N18" s="160">
        <f t="shared" si="0"/>
        <v>6.4168928007571457E-2</v>
      </c>
      <c r="O18" s="160">
        <f t="shared" si="0"/>
        <v>7.4207304517231787E-2</v>
      </c>
      <c r="P18" s="160">
        <f t="shared" si="0"/>
        <v>8.4228382263744184E-2</v>
      </c>
    </row>
    <row r="19" spans="1:16">
      <c r="A19" s="150">
        <v>28</v>
      </c>
      <c r="B19" s="159">
        <v>193440</v>
      </c>
      <c r="C19" s="159">
        <v>254659</v>
      </c>
      <c r="D19" s="159">
        <v>334355</v>
      </c>
      <c r="E19" s="159">
        <v>437886</v>
      </c>
      <c r="F19" s="159">
        <v>571351</v>
      </c>
      <c r="G19" s="159">
        <v>743092</v>
      </c>
      <c r="H19" s="159">
        <v>963679</v>
      </c>
      <c r="J19" s="160">
        <f t="shared" si="1"/>
        <v>2.3844014829180971E-2</v>
      </c>
      <c r="K19" s="160">
        <f t="shared" si="1"/>
        <v>3.3947617370262639E-2</v>
      </c>
      <c r="L19" s="160">
        <f t="shared" si="1"/>
        <v>4.4050986174264173E-2</v>
      </c>
      <c r="M19" s="160">
        <f t="shared" si="1"/>
        <v>5.4158104825421161E-2</v>
      </c>
      <c r="N19" s="160">
        <f t="shared" si="1"/>
        <v>6.4222041969074439E-2</v>
      </c>
      <c r="O19" s="160">
        <f t="shared" si="1"/>
        <v>7.4258166270946058E-2</v>
      </c>
      <c r="P19" s="160">
        <f t="shared" si="1"/>
        <v>8.4277492323750147E-2</v>
      </c>
    </row>
    <row r="20" spans="1:16">
      <c r="A20" s="150">
        <v>29</v>
      </c>
      <c r="B20" s="159">
        <v>198212</v>
      </c>
      <c r="C20" s="159">
        <v>263619</v>
      </c>
      <c r="D20" s="159">
        <v>349634</v>
      </c>
      <c r="E20" s="159">
        <v>462268</v>
      </c>
      <c r="F20" s="159">
        <v>608866</v>
      </c>
      <c r="G20" s="159">
        <v>799297</v>
      </c>
      <c r="H20" s="159">
        <v>1046178</v>
      </c>
      <c r="J20" s="160">
        <f t="shared" si="1"/>
        <v>2.3872456634952632E-2</v>
      </c>
      <c r="K20" s="160">
        <f t="shared" si="1"/>
        <v>3.3990237176728444E-2</v>
      </c>
      <c r="L20" s="160">
        <f t="shared" si="1"/>
        <v>4.4107700012612217E-2</v>
      </c>
      <c r="M20" s="160">
        <f t="shared" si="1"/>
        <v>5.4210587338631155E-2</v>
      </c>
      <c r="N20" s="160">
        <f t="shared" si="1"/>
        <v>6.4271600039489396E-2</v>
      </c>
      <c r="O20" s="160">
        <f t="shared" si="1"/>
        <v>7.4305671256978734E-2</v>
      </c>
      <c r="P20" s="160">
        <f t="shared" si="1"/>
        <v>8.4323357900415896E-2</v>
      </c>
    </row>
    <row r="21" spans="1:16">
      <c r="A21" s="150">
        <v>30</v>
      </c>
      <c r="B21" s="159">
        <v>203163</v>
      </c>
      <c r="C21" s="159">
        <v>272895</v>
      </c>
      <c r="D21" s="159">
        <v>365612</v>
      </c>
      <c r="E21" s="159">
        <v>488010</v>
      </c>
      <c r="F21" s="159">
        <v>648848</v>
      </c>
      <c r="G21" s="159">
        <v>859756</v>
      </c>
      <c r="H21" s="159">
        <v>1135743</v>
      </c>
      <c r="J21" s="160">
        <f t="shared" si="1"/>
        <v>2.3909299052990773E-2</v>
      </c>
      <c r="K21" s="160">
        <f t="shared" si="1"/>
        <v>3.4030111802040519E-2</v>
      </c>
      <c r="L21" s="160">
        <f t="shared" si="1"/>
        <v>4.416071153005019E-2</v>
      </c>
      <c r="M21" s="160">
        <f t="shared" si="1"/>
        <v>5.4259744903789819E-2</v>
      </c>
      <c r="N21" s="160">
        <f t="shared" si="1"/>
        <v>6.4318061851727393E-2</v>
      </c>
      <c r="O21" s="160">
        <f t="shared" si="1"/>
        <v>7.4350129488721217E-2</v>
      </c>
      <c r="P21" s="160">
        <f t="shared" si="1"/>
        <v>8.4366275541027491E-2</v>
      </c>
    </row>
    <row r="22" spans="1:16">
      <c r="A22" s="150">
        <v>31</v>
      </c>
      <c r="B22" s="159">
        <v>208281</v>
      </c>
      <c r="C22" s="159">
        <v>282499</v>
      </c>
      <c r="D22" s="159">
        <v>382323</v>
      </c>
      <c r="E22" s="159">
        <v>515188</v>
      </c>
      <c r="F22" s="159">
        <v>691458</v>
      </c>
      <c r="G22" s="159">
        <v>924791</v>
      </c>
      <c r="H22" s="159">
        <v>1232979</v>
      </c>
      <c r="J22" s="160">
        <f t="shared" si="1"/>
        <v>2.3950638390694667E-2</v>
      </c>
      <c r="K22" s="160">
        <f t="shared" si="1"/>
        <v>3.4067604666184081E-2</v>
      </c>
      <c r="L22" s="160">
        <f t="shared" si="1"/>
        <v>4.4210553656658158E-2</v>
      </c>
      <c r="M22" s="160">
        <f t="shared" si="1"/>
        <v>5.4305899640611388E-2</v>
      </c>
      <c r="N22" s="160">
        <f t="shared" si="1"/>
        <v>6.4361653516995299E-2</v>
      </c>
      <c r="O22" s="160">
        <f t="shared" si="1"/>
        <v>7.4391828595753884E-2</v>
      </c>
      <c r="P22" s="160">
        <f t="shared" si="1"/>
        <v>8.4406516476076776E-2</v>
      </c>
    </row>
    <row r="23" spans="1:16">
      <c r="A23" s="150">
        <v>32</v>
      </c>
      <c r="B23" s="159">
        <v>213529</v>
      </c>
      <c r="C23" s="159">
        <v>292443</v>
      </c>
      <c r="D23" s="159">
        <v>399799</v>
      </c>
      <c r="E23" s="159">
        <v>543881</v>
      </c>
      <c r="F23" s="159">
        <v>736868</v>
      </c>
      <c r="G23" s="159">
        <v>994749</v>
      </c>
      <c r="H23" s="159">
        <v>1338543</v>
      </c>
      <c r="J23" s="160">
        <f t="shared" si="1"/>
        <v>2.3989555799949436E-2</v>
      </c>
      <c r="K23" s="160">
        <f t="shared" si="1"/>
        <v>3.4102977152902447E-2</v>
      </c>
      <c r="L23" s="160">
        <f t="shared" si="1"/>
        <v>4.4257380073021935E-2</v>
      </c>
      <c r="M23" s="160">
        <f t="shared" si="1"/>
        <v>5.4349257378268678E-2</v>
      </c>
      <c r="N23" s="160">
        <f t="shared" si="1"/>
        <v>6.440260318623281E-2</v>
      </c>
      <c r="O23" s="160">
        <f t="shared" si="1"/>
        <v>7.443104183797189E-2</v>
      </c>
      <c r="P23" s="160">
        <f t="shared" si="1"/>
        <v>8.4444324583820007E-2</v>
      </c>
    </row>
    <row r="24" spans="1:16">
      <c r="A24" s="150">
        <v>33</v>
      </c>
      <c r="B24" s="159">
        <v>218910</v>
      </c>
      <c r="C24" s="159">
        <v>302775</v>
      </c>
      <c r="D24" s="159">
        <v>418075</v>
      </c>
      <c r="E24" s="159">
        <v>574174</v>
      </c>
      <c r="F24" s="159">
        <v>785262</v>
      </c>
      <c r="G24" s="159">
        <v>1070001</v>
      </c>
      <c r="H24" s="159">
        <v>1453148</v>
      </c>
      <c r="J24" s="160">
        <f t="shared" si="1"/>
        <v>2.402622473023297E-2</v>
      </c>
      <c r="K24" s="160">
        <f t="shared" si="1"/>
        <v>3.4140137130767689E-2</v>
      </c>
      <c r="L24" s="160">
        <f t="shared" si="1"/>
        <v>4.4301459099131968E-2</v>
      </c>
      <c r="M24" s="160">
        <f t="shared" si="1"/>
        <v>5.4390098367868012E-2</v>
      </c>
      <c r="N24" s="160">
        <f t="shared" si="1"/>
        <v>6.4441146308284125E-2</v>
      </c>
      <c r="O24" s="160">
        <f t="shared" si="1"/>
        <v>7.4467936478004537E-2</v>
      </c>
      <c r="P24" s="160">
        <f t="shared" si="1"/>
        <v>8.4479908614923938E-2</v>
      </c>
    </row>
    <row r="25" spans="1:16">
      <c r="A25" s="150">
        <v>34</v>
      </c>
      <c r="B25" s="159">
        <v>224427</v>
      </c>
      <c r="C25" s="159">
        <v>313591</v>
      </c>
      <c r="D25" s="159">
        <v>437188</v>
      </c>
      <c r="E25" s="159">
        <v>606157</v>
      </c>
      <c r="F25" s="159">
        <v>836838</v>
      </c>
      <c r="G25" s="159">
        <v>1150949</v>
      </c>
      <c r="H25" s="159">
        <v>1577568</v>
      </c>
      <c r="J25" s="160">
        <f t="shared" si="1"/>
        <v>2.4060791151470529E-2</v>
      </c>
      <c r="K25" s="160">
        <f t="shared" si="1"/>
        <v>3.4186654336687772E-2</v>
      </c>
      <c r="L25" s="160">
        <f t="shared" si="1"/>
        <v>4.4343055823335531E-2</v>
      </c>
      <c r="M25" s="160">
        <f t="shared" si="1"/>
        <v>5.4428678841540235E-2</v>
      </c>
      <c r="N25" s="160">
        <f t="shared" si="1"/>
        <v>6.4477562312045267E-2</v>
      </c>
      <c r="O25" s="160">
        <f t="shared" si="1"/>
        <v>7.4502751072458961E-2</v>
      </c>
      <c r="P25" s="160">
        <f t="shared" si="1"/>
        <v>8.4513453305815389E-2</v>
      </c>
    </row>
    <row r="26" spans="1:16">
      <c r="A26" s="150">
        <v>35</v>
      </c>
      <c r="B26" s="159">
        <v>230085</v>
      </c>
      <c r="C26" s="159">
        <v>324795</v>
      </c>
      <c r="D26" s="159">
        <v>457177</v>
      </c>
      <c r="E26" s="159">
        <v>639923</v>
      </c>
      <c r="F26" s="159">
        <v>891803</v>
      </c>
      <c r="G26" s="159">
        <v>1238023</v>
      </c>
      <c r="H26" s="159">
        <v>1712646</v>
      </c>
      <c r="J26" s="160">
        <f t="shared" si="1"/>
        <v>2.4093632646039254E-2</v>
      </c>
      <c r="K26" s="160">
        <f t="shared" si="1"/>
        <v>3.4230662823707902E-2</v>
      </c>
      <c r="L26" s="160">
        <f t="shared" si="1"/>
        <v>4.4382421820381435E-2</v>
      </c>
      <c r="M26" s="160">
        <f t="shared" si="1"/>
        <v>5.4465124882597138E-2</v>
      </c>
      <c r="N26" s="160">
        <f t="shared" si="1"/>
        <v>6.4511949319343342E-2</v>
      </c>
      <c r="O26" s="160">
        <f t="shared" si="1"/>
        <v>7.4535629381181856E-2</v>
      </c>
      <c r="P26" s="160">
        <f t="shared" si="1"/>
        <v>8.4545173186133971E-2</v>
      </c>
    </row>
    <row r="27" spans="1:16">
      <c r="A27" s="150">
        <v>36</v>
      </c>
      <c r="B27" s="159">
        <v>235886</v>
      </c>
      <c r="C27" s="159">
        <v>336401</v>
      </c>
      <c r="D27" s="159">
        <v>478082</v>
      </c>
      <c r="E27" s="159">
        <v>675572</v>
      </c>
      <c r="F27" s="159">
        <v>950382</v>
      </c>
      <c r="G27" s="159">
        <v>1331689</v>
      </c>
      <c r="H27" s="159">
        <v>1859292</v>
      </c>
      <c r="J27" s="160">
        <f t="shared" si="1"/>
        <v>2.4124693621932147E-2</v>
      </c>
      <c r="K27" s="160">
        <f t="shared" si="1"/>
        <v>3.4272373535034761E-2</v>
      </c>
      <c r="L27" s="160">
        <f t="shared" si="1"/>
        <v>4.4419727671249465E-2</v>
      </c>
      <c r="M27" s="160">
        <f t="shared" si="1"/>
        <v>5.4499636775310778E-2</v>
      </c>
      <c r="N27" s="160">
        <f t="shared" si="1"/>
        <v>6.4544545241922435E-2</v>
      </c>
      <c r="O27" s="160">
        <f t="shared" si="1"/>
        <v>7.4566782809961873E-2</v>
      </c>
      <c r="P27" s="160">
        <f t="shared" si="1"/>
        <v>8.4575164987016116E-2</v>
      </c>
    </row>
    <row r="28" spans="1:16">
      <c r="A28" s="150">
        <v>37</v>
      </c>
      <c r="B28" s="159">
        <v>241834</v>
      </c>
      <c r="C28" s="159">
        <v>348423</v>
      </c>
      <c r="D28" s="159">
        <v>499944</v>
      </c>
      <c r="E28" s="159">
        <v>713209</v>
      </c>
      <c r="F28" s="159">
        <v>1012810</v>
      </c>
      <c r="G28" s="159">
        <v>1432443</v>
      </c>
      <c r="H28" s="159">
        <v>2018498</v>
      </c>
      <c r="J28" s="160">
        <f t="shared" si="1"/>
        <v>2.4154161506244609E-2</v>
      </c>
      <c r="K28" s="160">
        <f t="shared" si="1"/>
        <v>3.4311933794984872E-2</v>
      </c>
      <c r="L28" s="160">
        <f t="shared" si="1"/>
        <v>4.445507988981956E-2</v>
      </c>
      <c r="M28" s="160">
        <f t="shared" si="1"/>
        <v>5.4532366363386542E-2</v>
      </c>
      <c r="N28" s="160">
        <f t="shared" si="1"/>
        <v>6.457541360527741E-2</v>
      </c>
      <c r="O28" s="160">
        <f t="shared" si="1"/>
        <v>7.4596282374512102E-2</v>
      </c>
      <c r="P28" s="160">
        <f t="shared" si="1"/>
        <v>8.4603585422410754E-2</v>
      </c>
    </row>
    <row r="29" spans="1:16">
      <c r="A29" s="150">
        <v>38</v>
      </c>
      <c r="B29" s="159">
        <v>247933</v>
      </c>
      <c r="C29" s="159">
        <v>360875</v>
      </c>
      <c r="D29" s="159">
        <v>522807</v>
      </c>
      <c r="E29" s="159">
        <v>752945</v>
      </c>
      <c r="F29" s="159">
        <v>1079342</v>
      </c>
      <c r="G29" s="159">
        <v>1540823</v>
      </c>
      <c r="H29" s="159">
        <v>2191340</v>
      </c>
      <c r="J29" s="160">
        <f t="shared" si="1"/>
        <v>2.4182189872794302E-2</v>
      </c>
      <c r="K29" s="160">
        <f t="shared" si="1"/>
        <v>3.4349441122663249E-2</v>
      </c>
      <c r="L29" s="160">
        <f t="shared" si="1"/>
        <v>4.4488639985316158E-2</v>
      </c>
      <c r="M29" s="160">
        <f t="shared" si="1"/>
        <v>5.4563455125225646E-2</v>
      </c>
      <c r="N29" s="160">
        <f t="shared" si="1"/>
        <v>6.4604743152343547E-2</v>
      </c>
      <c r="O29" s="160">
        <f t="shared" si="1"/>
        <v>7.4624286471321799E-2</v>
      </c>
      <c r="P29" s="160">
        <f t="shared" si="1"/>
        <v>8.4630558056700833E-2</v>
      </c>
    </row>
    <row r="30" spans="1:16">
      <c r="A30" s="150">
        <v>39</v>
      </c>
      <c r="B30" s="159">
        <v>254186</v>
      </c>
      <c r="C30" s="159">
        <v>373774</v>
      </c>
      <c r="D30" s="159">
        <v>546718</v>
      </c>
      <c r="E30" s="159">
        <v>794897</v>
      </c>
      <c r="F30" s="159">
        <v>1150246</v>
      </c>
      <c r="G30" s="159">
        <v>1657406</v>
      </c>
      <c r="H30" s="159">
        <v>2378985</v>
      </c>
      <c r="J30" s="160">
        <f t="shared" si="1"/>
        <v>2.4208800665396213E-2</v>
      </c>
      <c r="K30" s="160">
        <f t="shared" si="1"/>
        <v>3.438516734497421E-2</v>
      </c>
      <c r="L30" s="160">
        <f t="shared" si="1"/>
        <v>4.4520600036422664E-2</v>
      </c>
      <c r="M30" s="160">
        <f t="shared" si="1"/>
        <v>5.4593023007677655E-2</v>
      </c>
      <c r="N30" s="160">
        <f t="shared" si="1"/>
        <v>6.4632604475687305E-2</v>
      </c>
      <c r="O30" s="160">
        <f t="shared" si="1"/>
        <v>7.4650902785557305E-2</v>
      </c>
      <c r="P30" s="160">
        <f t="shared" si="1"/>
        <v>8.4656179773554774E-2</v>
      </c>
    </row>
    <row r="31" spans="1:16">
      <c r="A31" s="150">
        <v>40</v>
      </c>
      <c r="B31" s="159">
        <v>260599</v>
      </c>
      <c r="C31" s="159">
        <v>387135</v>
      </c>
      <c r="D31" s="159">
        <v>571724</v>
      </c>
      <c r="E31" s="159">
        <v>839189</v>
      </c>
      <c r="F31" s="159">
        <v>1225811</v>
      </c>
      <c r="G31" s="159">
        <v>1782813</v>
      </c>
      <c r="H31" s="159">
        <v>2582701</v>
      </c>
      <c r="J31" s="160">
        <f t="shared" si="1"/>
        <v>2.4234307166103086E-2</v>
      </c>
      <c r="K31" s="160">
        <f t="shared" si="1"/>
        <v>3.441917134386685E-2</v>
      </c>
      <c r="L31" s="160">
        <f t="shared" si="1"/>
        <v>4.4551027444518887E-2</v>
      </c>
      <c r="M31" s="160">
        <f t="shared" si="1"/>
        <v>5.4621193420728353E-2</v>
      </c>
      <c r="N31" s="160">
        <f t="shared" si="1"/>
        <v>6.4659142527999647E-2</v>
      </c>
      <c r="O31" s="160">
        <f t="shared" si="1"/>
        <v>7.467623414169533E-2</v>
      </c>
      <c r="P31" s="160">
        <f t="shared" si="1"/>
        <v>8.4680551529772607E-2</v>
      </c>
    </row>
    <row r="32" spans="1:16">
      <c r="A32" s="150">
        <v>41</v>
      </c>
      <c r="B32" s="159">
        <v>267174</v>
      </c>
      <c r="C32" s="159">
        <v>400975</v>
      </c>
      <c r="D32" s="159">
        <v>597875</v>
      </c>
      <c r="E32" s="159">
        <v>885950</v>
      </c>
      <c r="F32" s="159">
        <v>1306342</v>
      </c>
      <c r="G32" s="159">
        <v>1917712</v>
      </c>
      <c r="H32" s="159">
        <v>2803865</v>
      </c>
      <c r="J32" s="160">
        <f t="shared" si="1"/>
        <v>2.4258589004602094E-2</v>
      </c>
      <c r="K32" s="160">
        <f t="shared" si="1"/>
        <v>3.4451605427860521E-2</v>
      </c>
      <c r="L32" s="160">
        <f t="shared" si="1"/>
        <v>4.458002535461536E-2</v>
      </c>
      <c r="M32" s="160">
        <f t="shared" si="1"/>
        <v>5.464802029619853E-2</v>
      </c>
      <c r="N32" s="160">
        <f t="shared" si="1"/>
        <v>6.4684422124487551E-2</v>
      </c>
      <c r="O32" s="160">
        <f t="shared" si="1"/>
        <v>7.4700373112417839E-2</v>
      </c>
      <c r="P32" s="160">
        <f t="shared" si="1"/>
        <v>8.4703767933577589E-2</v>
      </c>
    </row>
    <row r="33" spans="1:16">
      <c r="A33" s="150">
        <v>42</v>
      </c>
      <c r="B33" s="159">
        <v>273915</v>
      </c>
      <c r="C33" s="159">
        <v>415311</v>
      </c>
      <c r="D33" s="159">
        <v>625224</v>
      </c>
      <c r="E33" s="159">
        <v>935319</v>
      </c>
      <c r="F33" s="159">
        <v>1392167</v>
      </c>
      <c r="G33" s="159">
        <v>2062821</v>
      </c>
      <c r="H33" s="159">
        <v>3043972</v>
      </c>
      <c r="J33" s="160">
        <f t="shared" si="1"/>
        <v>2.4281724942868399E-2</v>
      </c>
      <c r="K33" s="160">
        <f t="shared" si="1"/>
        <v>3.4482568492534282E-2</v>
      </c>
      <c r="L33" s="160">
        <f t="shared" si="1"/>
        <v>4.4607716257290209E-2</v>
      </c>
      <c r="M33" s="160">
        <f t="shared" si="1"/>
        <v>5.4673634762295586E-2</v>
      </c>
      <c r="N33" s="160">
        <f t="shared" si="1"/>
        <v>6.4708560900805789E-2</v>
      </c>
      <c r="O33" s="160">
        <f t="shared" si="1"/>
        <v>7.4723396375039108E-2</v>
      </c>
      <c r="P33" s="160">
        <f t="shared" si="1"/>
        <v>8.4725914046638318E-2</v>
      </c>
    </row>
    <row r="34" spans="1:16">
      <c r="A34" s="150">
        <v>43</v>
      </c>
      <c r="B34" s="159">
        <v>280828</v>
      </c>
      <c r="C34" s="159">
        <v>430161</v>
      </c>
      <c r="D34" s="159">
        <v>653826</v>
      </c>
      <c r="E34" s="159">
        <v>987441</v>
      </c>
      <c r="F34" s="159">
        <v>1483632</v>
      </c>
      <c r="G34" s="159">
        <v>2218913</v>
      </c>
      <c r="H34" s="159">
        <v>3304643</v>
      </c>
      <c r="J34" s="160">
        <f t="shared" si="1"/>
        <v>2.4303948100422801E-2</v>
      </c>
      <c r="K34" s="160">
        <f t="shared" si="1"/>
        <v>3.4512173213033792E-2</v>
      </c>
      <c r="L34" s="160">
        <f t="shared" si="1"/>
        <v>4.4634192580774279E-2</v>
      </c>
      <c r="M34" s="160">
        <f t="shared" si="1"/>
        <v>5.469810672317732E-2</v>
      </c>
      <c r="N34" s="160">
        <f t="shared" si="1"/>
        <v>6.473160093824748E-2</v>
      </c>
      <c r="O34" s="160">
        <f t="shared" si="1"/>
        <v>7.4745382193407206E-2</v>
      </c>
      <c r="P34" s="160">
        <f t="shared" si="1"/>
        <v>8.4747050426660753E-2</v>
      </c>
    </row>
    <row r="35" spans="1:16">
      <c r="A35" s="150">
        <v>44</v>
      </c>
      <c r="B35" s="159">
        <v>287915</v>
      </c>
      <c r="C35" s="159">
        <v>445543</v>
      </c>
      <c r="D35" s="159">
        <v>683737</v>
      </c>
      <c r="E35" s="159">
        <v>1042470</v>
      </c>
      <c r="F35" s="159">
        <v>1581109</v>
      </c>
      <c r="G35" s="159">
        <v>2386818</v>
      </c>
      <c r="H35" s="159">
        <v>3587639</v>
      </c>
      <c r="J35" s="160">
        <f t="shared" si="1"/>
        <v>2.4325123673676785E-2</v>
      </c>
      <c r="K35" s="160">
        <f t="shared" si="1"/>
        <v>3.4540486797929537E-2</v>
      </c>
      <c r="L35" s="160">
        <f t="shared" si="1"/>
        <v>4.4659485155960521E-2</v>
      </c>
      <c r="M35" s="160">
        <f t="shared" si="1"/>
        <v>5.4721522645290399E-2</v>
      </c>
      <c r="N35" s="160">
        <f t="shared" si="1"/>
        <v>6.4753636621582178E-2</v>
      </c>
      <c r="O35" s="160">
        <f t="shared" si="1"/>
        <v>7.4766385904162735E-2</v>
      </c>
      <c r="P35" s="160">
        <f t="shared" si="1"/>
        <v>8.4767242936861997E-2</v>
      </c>
    </row>
    <row r="36" spans="1:16">
      <c r="A36" s="150">
        <v>45</v>
      </c>
      <c r="B36" s="159">
        <v>295183</v>
      </c>
      <c r="C36" s="159">
        <v>461476</v>
      </c>
      <c r="D36" s="159">
        <v>715019</v>
      </c>
      <c r="E36" s="159">
        <v>1100567</v>
      </c>
      <c r="F36" s="159">
        <v>1684993</v>
      </c>
      <c r="G36" s="159">
        <v>2567432</v>
      </c>
      <c r="H36" s="159">
        <v>3894874</v>
      </c>
      <c r="J36" s="160">
        <f t="shared" si="1"/>
        <v>2.434552446109306E-2</v>
      </c>
      <c r="K36" s="160">
        <f t="shared" si="1"/>
        <v>3.4567590532421866E-2</v>
      </c>
      <c r="L36" s="160">
        <f t="shared" si="1"/>
        <v>4.4683739975102998E-2</v>
      </c>
      <c r="M36" s="160">
        <f t="shared" si="1"/>
        <v>5.4743925912378977E-2</v>
      </c>
      <c r="N36" s="160">
        <f t="shared" si="1"/>
        <v>6.4774729946702303E-2</v>
      </c>
      <c r="O36" s="160">
        <f t="shared" si="1"/>
        <v>7.478649035985141E-2</v>
      </c>
      <c r="P36" s="160">
        <f t="shared" si="1"/>
        <v>8.4786565520979851E-2</v>
      </c>
    </row>
    <row r="37" spans="1:16">
      <c r="A37" s="150">
        <v>46</v>
      </c>
      <c r="B37" s="159">
        <v>302685</v>
      </c>
      <c r="C37" s="159">
        <v>477979</v>
      </c>
      <c r="D37" s="159">
        <v>747733</v>
      </c>
      <c r="E37" s="159">
        <v>1161904</v>
      </c>
      <c r="F37" s="159">
        <v>1795704</v>
      </c>
      <c r="G37" s="159">
        <v>2761716</v>
      </c>
      <c r="H37" s="159">
        <v>4228422</v>
      </c>
      <c r="J37" s="160">
        <f t="shared" si="1"/>
        <v>2.436875647709269E-2</v>
      </c>
      <c r="K37" s="160">
        <f t="shared" si="1"/>
        <v>3.4593526965935206E-2</v>
      </c>
      <c r="L37" s="160">
        <f t="shared" si="1"/>
        <v>4.4706965101056539E-2</v>
      </c>
      <c r="M37" s="160">
        <f t="shared" si="1"/>
        <v>5.4765399893621058E-2</v>
      </c>
      <c r="N37" s="160">
        <f t="shared" si="1"/>
        <v>6.4794925685878191E-2</v>
      </c>
      <c r="O37" s="160">
        <f t="shared" si="1"/>
        <v>7.4805743693523885E-2</v>
      </c>
      <c r="P37" s="160">
        <f t="shared" si="1"/>
        <v>8.4805061061846043E-2</v>
      </c>
    </row>
    <row r="38" spans="1:16">
      <c r="A38" s="150">
        <v>47</v>
      </c>
      <c r="B38" s="159">
        <v>310481</v>
      </c>
      <c r="C38" s="159">
        <v>495075</v>
      </c>
      <c r="D38" s="159">
        <v>781946</v>
      </c>
      <c r="E38" s="159">
        <v>1226661</v>
      </c>
      <c r="F38" s="159">
        <v>1913692</v>
      </c>
      <c r="G38" s="159">
        <v>2970705</v>
      </c>
      <c r="H38" s="159">
        <v>4590538</v>
      </c>
      <c r="J38" s="160">
        <f t="shared" si="1"/>
        <v>2.4398255922446488E-2</v>
      </c>
      <c r="K38" s="160">
        <f t="shared" si="1"/>
        <v>3.4618486192195652E-2</v>
      </c>
      <c r="L38" s="160">
        <f t="shared" si="1"/>
        <v>4.4729266324143646E-2</v>
      </c>
      <c r="M38" s="160">
        <f t="shared" si="1"/>
        <v>5.4785988950628361E-2</v>
      </c>
      <c r="N38" s="160">
        <f t="shared" si="1"/>
        <v>6.4814295894460416E-2</v>
      </c>
      <c r="O38" s="160">
        <f t="shared" si="1"/>
        <v>7.4824201491359599E-2</v>
      </c>
      <c r="P38" s="160">
        <f t="shared" si="1"/>
        <v>8.4822788562308515E-2</v>
      </c>
    </row>
    <row r="39" spans="1:16">
      <c r="A39" s="150">
        <v>48</v>
      </c>
      <c r="B39" s="159">
        <v>318480</v>
      </c>
      <c r="C39" s="159">
        <v>512783</v>
      </c>
      <c r="D39" s="159">
        <v>817725</v>
      </c>
      <c r="E39" s="159">
        <v>1295029</v>
      </c>
      <c r="F39" s="159">
        <v>2039435</v>
      </c>
      <c r="G39" s="159">
        <v>3195511</v>
      </c>
      <c r="H39" s="159">
        <v>4983668</v>
      </c>
      <c r="J39" s="160">
        <f t="shared" si="1"/>
        <v>2.4426674789141289E-2</v>
      </c>
      <c r="K39" s="160">
        <f t="shared" si="1"/>
        <v>3.4642427995768221E-2</v>
      </c>
      <c r="L39" s="160">
        <f t="shared" si="1"/>
        <v>4.475065374533127E-2</v>
      </c>
      <c r="M39" s="160">
        <f t="shared" si="1"/>
        <v>5.4805752144689635E-2</v>
      </c>
      <c r="N39" s="160">
        <f t="shared" si="1"/>
        <v>6.4832886699775383E-2</v>
      </c>
      <c r="O39" s="160">
        <f t="shared" si="1"/>
        <v>7.4841904872875675E-2</v>
      </c>
      <c r="P39" s="160">
        <f t="shared" si="1"/>
        <v>8.483979086168314E-2</v>
      </c>
    </row>
    <row r="40" spans="1:16">
      <c r="A40" s="150">
        <v>49</v>
      </c>
      <c r="B40" s="159">
        <v>326685</v>
      </c>
      <c r="C40" s="159">
        <v>531125</v>
      </c>
      <c r="D40" s="159">
        <v>855144</v>
      </c>
      <c r="E40" s="159">
        <v>1367210</v>
      </c>
      <c r="F40" s="159">
        <v>2173442</v>
      </c>
      <c r="G40" s="159">
        <v>3437332</v>
      </c>
      <c r="H40" s="159">
        <v>5410468</v>
      </c>
      <c r="J40" s="160">
        <f t="shared" si="1"/>
        <v>2.4453929307256095E-2</v>
      </c>
      <c r="K40" s="160">
        <f t="shared" si="1"/>
        <v>3.4665417538776611E-2</v>
      </c>
      <c r="L40" s="160">
        <f t="shared" si="1"/>
        <v>4.4771240513711952E-2</v>
      </c>
      <c r="M40" s="160">
        <f t="shared" si="1"/>
        <v>5.4824748495562181E-2</v>
      </c>
      <c r="N40" s="160">
        <f t="shared" si="1"/>
        <v>6.4850737020264893E-2</v>
      </c>
      <c r="O40" s="160">
        <f t="shared" si="1"/>
        <v>7.4858904862580511E-2</v>
      </c>
      <c r="P40" s="160">
        <f t="shared" si="1"/>
        <v>8.4856110330898238E-2</v>
      </c>
    </row>
    <row r="41" spans="1:16">
      <c r="A41" s="150">
        <v>50</v>
      </c>
      <c r="B41" s="159">
        <v>335102</v>
      </c>
      <c r="C41" s="159">
        <v>550124</v>
      </c>
      <c r="D41" s="159">
        <v>894275</v>
      </c>
      <c r="E41" s="159">
        <v>1443416</v>
      </c>
      <c r="F41" s="159">
        <v>2316257</v>
      </c>
      <c r="G41" s="159">
        <v>3697455</v>
      </c>
      <c r="H41" s="159">
        <v>5873822</v>
      </c>
      <c r="J41" s="160">
        <f t="shared" si="1"/>
        <v>2.4480131905645353E-2</v>
      </c>
      <c r="K41" s="160">
        <f t="shared" si="1"/>
        <v>3.4687522419638128E-2</v>
      </c>
      <c r="L41" s="160">
        <f t="shared" si="1"/>
        <v>4.4790997439069669E-2</v>
      </c>
      <c r="M41" s="160">
        <f t="shared" si="1"/>
        <v>5.4843012344260256E-2</v>
      </c>
      <c r="N41" s="160">
        <f t="shared" si="1"/>
        <v>6.4867898259212575E-2</v>
      </c>
      <c r="O41" s="160">
        <f t="shared" si="1"/>
        <v>7.4875237562260999E-2</v>
      </c>
      <c r="P41" s="160">
        <f t="shared" si="1"/>
        <v>8.4871788192554698E-2</v>
      </c>
    </row>
    <row r="42" spans="1:16">
      <c r="A42" s="150">
        <v>51</v>
      </c>
      <c r="B42" s="159">
        <v>343737</v>
      </c>
      <c r="C42" s="159">
        <v>569805</v>
      </c>
      <c r="D42" s="159">
        <v>935200</v>
      </c>
      <c r="E42" s="159">
        <v>1523871</v>
      </c>
      <c r="F42" s="159">
        <v>2468459</v>
      </c>
      <c r="G42" s="159">
        <v>3977267</v>
      </c>
      <c r="H42" s="159">
        <v>6376862</v>
      </c>
      <c r="J42" s="160">
        <f t="shared" si="1"/>
        <v>2.4505374030010962E-2</v>
      </c>
      <c r="K42" s="160">
        <f t="shared" si="1"/>
        <v>3.4708845707969838E-2</v>
      </c>
      <c r="L42" s="160">
        <f t="shared" si="1"/>
        <v>4.481005404872751E-2</v>
      </c>
      <c r="M42" s="160">
        <f t="shared" si="1"/>
        <v>5.4860579330825221E-2</v>
      </c>
      <c r="N42" s="160">
        <f t="shared" si="1"/>
        <v>6.4884410026075479E-2</v>
      </c>
      <c r="O42" s="160">
        <f t="shared" si="1"/>
        <v>7.4890951048446563E-2</v>
      </c>
      <c r="P42" s="160">
        <f t="shared" si="1"/>
        <v>8.4886865570957815E-2</v>
      </c>
    </row>
    <row r="43" spans="1:16">
      <c r="A43" s="150">
        <v>52</v>
      </c>
      <c r="B43" s="159">
        <v>352595</v>
      </c>
      <c r="C43" s="159">
        <v>590190</v>
      </c>
      <c r="D43" s="159">
        <v>977998</v>
      </c>
      <c r="E43" s="159">
        <v>1608813</v>
      </c>
      <c r="F43" s="159">
        <v>2630664</v>
      </c>
      <c r="G43" s="159">
        <v>4278256</v>
      </c>
      <c r="H43" s="159">
        <v>6922986</v>
      </c>
      <c r="J43" s="160">
        <f t="shared" si="1"/>
        <v>2.4529673323991474E-2</v>
      </c>
      <c r="K43" s="160">
        <f t="shared" si="1"/>
        <v>3.4729345946223011E-2</v>
      </c>
      <c r="L43" s="160">
        <f t="shared" si="1"/>
        <v>4.4828380829816217E-2</v>
      </c>
      <c r="M43" s="160">
        <f t="shared" si="1"/>
        <v>5.4877502393732236E-2</v>
      </c>
      <c r="N43" s="160">
        <f t="shared" si="1"/>
        <v>6.4900300645120979E-2</v>
      </c>
      <c r="O43" s="160">
        <f t="shared" si="1"/>
        <v>7.4906068552635485E-2</v>
      </c>
      <c r="P43" s="160">
        <f t="shared" si="1"/>
        <v>8.4901372742306691E-2</v>
      </c>
    </row>
    <row r="44" spans="1:16">
      <c r="A44" s="150">
        <v>53</v>
      </c>
      <c r="B44" s="159">
        <v>361682</v>
      </c>
      <c r="C44" s="159">
        <v>611306</v>
      </c>
      <c r="D44" s="159">
        <v>1022757</v>
      </c>
      <c r="E44" s="159">
        <v>1698491</v>
      </c>
      <c r="F44" s="159">
        <v>2803530</v>
      </c>
      <c r="G44" s="159">
        <v>4602027</v>
      </c>
      <c r="H44" s="159">
        <v>7515883</v>
      </c>
      <c r="J44" s="160">
        <f t="shared" si="1"/>
        <v>2.4553095330590802E-2</v>
      </c>
      <c r="K44" s="160">
        <f t="shared" si="1"/>
        <v>3.4749127859790008E-2</v>
      </c>
      <c r="L44" s="160">
        <f t="shared" si="1"/>
        <v>4.484606288565729E-2</v>
      </c>
      <c r="M44" s="160">
        <f t="shared" si="1"/>
        <v>5.4893801792183616E-2</v>
      </c>
      <c r="N44" s="160">
        <f t="shared" si="1"/>
        <v>6.4915608621929799E-2</v>
      </c>
      <c r="O44" s="160">
        <f t="shared" si="1"/>
        <v>7.492063320307496E-2</v>
      </c>
      <c r="P44" s="160">
        <f t="shared" si="1"/>
        <v>8.4915338440615384E-2</v>
      </c>
    </row>
    <row r="45" spans="1:16">
      <c r="A45" s="150">
        <v>54</v>
      </c>
      <c r="B45" s="159">
        <v>371004</v>
      </c>
      <c r="C45" s="159">
        <v>633178</v>
      </c>
      <c r="D45" s="159">
        <v>1069565</v>
      </c>
      <c r="E45" s="159">
        <v>1793170</v>
      </c>
      <c r="F45" s="159">
        <v>2987758</v>
      </c>
      <c r="G45" s="159">
        <v>4950302</v>
      </c>
      <c r="H45" s="159">
        <v>8159561</v>
      </c>
      <c r="J45" s="160">
        <f t="shared" si="1"/>
        <v>2.4575691880895922E-2</v>
      </c>
      <c r="K45" s="160">
        <f t="shared" si="1"/>
        <v>3.4768192757635097E-2</v>
      </c>
      <c r="L45" s="160">
        <f t="shared" si="1"/>
        <v>4.4863100503853781E-2</v>
      </c>
      <c r="M45" s="160">
        <f t="shared" si="1"/>
        <v>5.4909521652049209E-2</v>
      </c>
      <c r="N45" s="160">
        <f t="shared" si="1"/>
        <v>6.493036728384638E-2</v>
      </c>
      <c r="O45" s="160">
        <f t="shared" si="1"/>
        <v>7.4934664929090733E-2</v>
      </c>
      <c r="P45" s="160">
        <f t="shared" si="1"/>
        <v>8.4928797481691909E-2</v>
      </c>
    </row>
    <row r="46" spans="1:16">
      <c r="A46" s="150">
        <v>55</v>
      </c>
      <c r="B46" s="159">
        <v>380566</v>
      </c>
      <c r="C46" s="159">
        <v>655834</v>
      </c>
      <c r="D46" s="159">
        <v>1118517</v>
      </c>
      <c r="E46" s="159">
        <v>1893129</v>
      </c>
      <c r="F46" s="159">
        <v>3184094</v>
      </c>
      <c r="G46" s="159">
        <v>5324937</v>
      </c>
      <c r="H46" s="159">
        <v>8858368</v>
      </c>
      <c r="J46" s="160">
        <f t="shared" si="1"/>
        <v>2.4597454216573666E-2</v>
      </c>
      <c r="K46" s="160">
        <f t="shared" si="1"/>
        <v>3.4786605993293751E-2</v>
      </c>
      <c r="L46" s="160">
        <f t="shared" si="1"/>
        <v>4.4879548763191224E-2</v>
      </c>
      <c r="M46" s="160">
        <f t="shared" si="1"/>
        <v>5.4924693482008458E-2</v>
      </c>
      <c r="N46" s="160">
        <f t="shared" si="1"/>
        <v>6.4944600707844469E-2</v>
      </c>
      <c r="O46" s="160">
        <f t="shared" si="1"/>
        <v>7.4948197714591824E-2</v>
      </c>
      <c r="P46" s="160">
        <f t="shared" si="1"/>
        <v>8.4941773704149348E-2</v>
      </c>
    </row>
    <row r="47" spans="1:16">
      <c r="A47" s="150">
        <v>56</v>
      </c>
      <c r="B47" s="159">
        <v>390376</v>
      </c>
      <c r="C47" s="159">
        <v>679302</v>
      </c>
      <c r="D47" s="159">
        <v>1169711</v>
      </c>
      <c r="E47" s="159">
        <v>1998661</v>
      </c>
      <c r="F47" s="159">
        <v>3393335</v>
      </c>
      <c r="G47" s="159">
        <v>5727927</v>
      </c>
      <c r="H47" s="159">
        <v>9617025</v>
      </c>
      <c r="J47" s="160">
        <f t="shared" si="1"/>
        <v>2.4618512676001014E-2</v>
      </c>
      <c r="K47" s="160">
        <f t="shared" si="1"/>
        <v>3.4804398277936022E-2</v>
      </c>
      <c r="L47" s="160">
        <f t="shared" si="1"/>
        <v>4.4895434683292823E-2</v>
      </c>
      <c r="M47" s="160">
        <f t="shared" si="1"/>
        <v>5.4939331734524144E-2</v>
      </c>
      <c r="N47" s="160">
        <f t="shared" si="1"/>
        <v>6.4958343217417225E-2</v>
      </c>
      <c r="O47" s="160">
        <f t="shared" si="1"/>
        <v>7.4961257116484825E-2</v>
      </c>
      <c r="P47" s="160">
        <f t="shared" si="1"/>
        <v>8.4954291205314503E-2</v>
      </c>
    </row>
    <row r="48" spans="1:16">
      <c r="A48" s="150">
        <v>57</v>
      </c>
      <c r="B48" s="159">
        <v>400439</v>
      </c>
      <c r="C48" s="159">
        <v>703610</v>
      </c>
      <c r="D48" s="159">
        <v>1223249</v>
      </c>
      <c r="E48" s="159">
        <v>2110079</v>
      </c>
      <c r="F48" s="159">
        <v>3616327</v>
      </c>
      <c r="G48" s="159">
        <v>6161418</v>
      </c>
      <c r="H48" s="159">
        <v>10440660</v>
      </c>
      <c r="J48" s="160">
        <f t="shared" si="1"/>
        <v>2.4638838208029368E-2</v>
      </c>
      <c r="K48" s="160">
        <f t="shared" si="1"/>
        <v>3.4821572602428574E-2</v>
      </c>
      <c r="L48" s="160">
        <f t="shared" si="1"/>
        <v>4.4910776537946617E-2</v>
      </c>
      <c r="M48" s="160">
        <f t="shared" si="1"/>
        <v>5.4953484143948739E-2</v>
      </c>
      <c r="N48" s="160">
        <f t="shared" si="1"/>
        <v>6.4971608051168861E-2</v>
      </c>
      <c r="O48" s="160">
        <f t="shared" si="1"/>
        <v>7.4973867045303066E-2</v>
      </c>
      <c r="P48" s="160">
        <f t="shared" si="1"/>
        <v>8.4966377575371288E-2</v>
      </c>
    </row>
    <row r="49" spans="1:16">
      <c r="A49" s="150">
        <v>58</v>
      </c>
      <c r="B49" s="159">
        <v>410761</v>
      </c>
      <c r="C49" s="159">
        <v>728789</v>
      </c>
      <c r="D49" s="159">
        <v>1279239</v>
      </c>
      <c r="E49" s="159">
        <v>2227709</v>
      </c>
      <c r="F49" s="159">
        <v>3853976</v>
      </c>
      <c r="G49" s="159">
        <v>6627718</v>
      </c>
      <c r="H49" s="159">
        <v>11334836</v>
      </c>
      <c r="J49" s="160">
        <f t="shared" si="1"/>
        <v>2.46584459906527E-2</v>
      </c>
      <c r="K49" s="160">
        <f t="shared" si="1"/>
        <v>3.4838183565124359E-2</v>
      </c>
      <c r="L49" s="160">
        <f t="shared" si="1"/>
        <v>4.4925611416609224E-2</v>
      </c>
      <c r="M49" s="160">
        <f t="shared" si="1"/>
        <v>5.496715571085331E-2</v>
      </c>
      <c r="N49" s="160">
        <f t="shared" si="1"/>
        <v>6.4984430627429424E-2</v>
      </c>
      <c r="O49" s="160">
        <f t="shared" si="1"/>
        <v>7.4986048689813511E-2</v>
      </c>
      <c r="P49" s="160">
        <f t="shared" si="1"/>
        <v>8.4978050724916931E-2</v>
      </c>
    </row>
    <row r="50" spans="1:16">
      <c r="A50" s="150">
        <v>59</v>
      </c>
      <c r="B50" s="159">
        <v>421351</v>
      </c>
      <c r="C50" s="159">
        <v>754869</v>
      </c>
      <c r="D50" s="159">
        <v>1337793</v>
      </c>
      <c r="E50" s="159">
        <v>2351898</v>
      </c>
      <c r="F50" s="159">
        <v>4107244</v>
      </c>
      <c r="G50" s="159">
        <v>7129310</v>
      </c>
      <c r="H50" s="159">
        <v>12305596</v>
      </c>
      <c r="J50" s="160">
        <f t="shared" si="1"/>
        <v>2.4677469126090257E-2</v>
      </c>
      <c r="K50" s="160">
        <f t="shared" si="1"/>
        <v>3.4854230725658075E-2</v>
      </c>
      <c r="L50" s="160">
        <f t="shared" si="1"/>
        <v>4.4939960180427452E-2</v>
      </c>
      <c r="M50" s="160">
        <f t="shared" si="1"/>
        <v>5.4980375501485934E-2</v>
      </c>
      <c r="N50" s="160">
        <f t="shared" si="1"/>
        <v>6.4996826421046539E-2</v>
      </c>
      <c r="O50" s="160">
        <f t="shared" si="1"/>
        <v>7.4997822951302417E-2</v>
      </c>
      <c r="P50" s="160">
        <f t="shared" si="1"/>
        <v>8.4989333559150282E-2</v>
      </c>
    </row>
    <row r="51" spans="1:16" ht="13.5" thickBot="1">
      <c r="A51" s="150">
        <v>60</v>
      </c>
      <c r="B51" s="159">
        <v>432213</v>
      </c>
      <c r="C51" s="159">
        <v>781884</v>
      </c>
      <c r="D51" s="159">
        <v>1399029</v>
      </c>
      <c r="E51" s="159">
        <v>2483012</v>
      </c>
      <c r="F51" s="159">
        <v>4377158</v>
      </c>
      <c r="G51" s="159">
        <v>7668867</v>
      </c>
      <c r="H51" s="159">
        <v>13359499</v>
      </c>
      <c r="J51" s="160">
        <f t="shared" si="1"/>
        <v>2.469581798389453E-2</v>
      </c>
      <c r="K51" s="160">
        <f t="shared" si="1"/>
        <v>3.4869781092797147E-2</v>
      </c>
      <c r="L51" s="160">
        <f t="shared" si="1"/>
        <v>4.4953853689136958E-2</v>
      </c>
      <c r="M51" s="160">
        <f t="shared" si="1"/>
        <v>5.4993167432259016E-2</v>
      </c>
      <c r="N51" s="160">
        <f t="shared" si="1"/>
        <v>6.5008818212577646E-2</v>
      </c>
      <c r="O51" s="160">
        <f t="shared" si="1"/>
        <v>7.5009214299880833E-2</v>
      </c>
      <c r="P51" s="160">
        <f t="shared" si="1"/>
        <v>8.5000244863804753E-2</v>
      </c>
    </row>
    <row r="52" spans="1:16" s="153" customFormat="1">
      <c r="I52" s="162" t="s">
        <v>0</v>
      </c>
    </row>
    <row r="53" spans="1:16" s="153" customFormat="1" ht="13.5" thickBot="1">
      <c r="I53" s="163">
        <f>SUM(J53:P53)</f>
        <v>5.2666752473197187E-2</v>
      </c>
      <c r="J53" s="160">
        <f>IF(Hilfe!$E$3='FSX (Einzel)'!J2,VLOOKUP(Hilfe!$B$54,$A$3:$P$51,10),0)</f>
        <v>0</v>
      </c>
      <c r="K53" s="160">
        <f>IF(Hilfe!$E$3='FSX (Einzel)'!K2,VLOOKUP(Hilfe!$B$54,$A$3:$P$51,11),0)</f>
        <v>0</v>
      </c>
      <c r="L53" s="160">
        <f>IF(Hilfe!$E$3='FSX (Einzel)'!L2,VLOOKUP(Hilfe!$B$54,$A$3:$P$51,12),0)</f>
        <v>0</v>
      </c>
      <c r="M53" s="160">
        <f>IF(Hilfe!$E$3='FSX (Einzel)'!M2,VLOOKUP(Hilfe!$B$54,$A$3:$P$51,13),0)</f>
        <v>5.2666752473197187E-2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1"/>
  <dimension ref="A1:P53"/>
  <sheetViews>
    <sheetView topLeftCell="A34"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133</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9">
        <v>134247</v>
      </c>
      <c r="C3" s="159">
        <v>150799</v>
      </c>
      <c r="D3" s="159">
        <v>169188</v>
      </c>
      <c r="E3" s="159">
        <v>189609</v>
      </c>
      <c r="F3" s="159">
        <v>212363</v>
      </c>
      <c r="G3" s="159">
        <v>237636</v>
      </c>
      <c r="H3" s="159">
        <v>265617</v>
      </c>
      <c r="J3" s="160">
        <f>(B3/100000)^(1/$A3)-1</f>
        <v>2.4846248694305517E-2</v>
      </c>
      <c r="K3" s="160">
        <f t="shared" ref="K3:P18" si="0">(C3/100000)^(1/$A3)-1</f>
        <v>3.48241095951487E-2</v>
      </c>
      <c r="L3" s="160">
        <f t="shared" si="0"/>
        <v>4.4794304305980193E-2</v>
      </c>
      <c r="M3" s="160">
        <f t="shared" si="0"/>
        <v>5.476306199878378E-2</v>
      </c>
      <c r="N3" s="160">
        <f t="shared" si="0"/>
        <v>6.4771874690715547E-2</v>
      </c>
      <c r="O3" s="160">
        <f t="shared" si="0"/>
        <v>7.479594550953661E-2</v>
      </c>
      <c r="P3" s="160">
        <f t="shared" si="0"/>
        <v>8.4812437044935685E-2</v>
      </c>
    </row>
    <row r="4" spans="1:16">
      <c r="A4" s="150">
        <v>13</v>
      </c>
      <c r="B4" s="159">
        <v>137823</v>
      </c>
      <c r="C4" s="159">
        <v>156324</v>
      </c>
      <c r="D4" s="159">
        <v>177078</v>
      </c>
      <c r="E4" s="159">
        <v>200346</v>
      </c>
      <c r="F4" s="159">
        <v>226624</v>
      </c>
      <c r="G4" s="159">
        <v>255968</v>
      </c>
      <c r="H4" s="159">
        <v>288762</v>
      </c>
      <c r="J4" s="160">
        <f t="shared" ref="J4:P51" si="1">(B4/100000)^(1/$A4)-1</f>
        <v>2.4983923675372832E-2</v>
      </c>
      <c r="K4" s="160">
        <f t="shared" si="0"/>
        <v>3.4963540234631774E-2</v>
      </c>
      <c r="L4" s="160">
        <f t="shared" si="0"/>
        <v>4.4935743885731405E-2</v>
      </c>
      <c r="M4" s="160">
        <f t="shared" si="0"/>
        <v>5.4906329553730426E-2</v>
      </c>
      <c r="N4" s="160">
        <f t="shared" si="0"/>
        <v>6.4954917161504699E-2</v>
      </c>
      <c r="O4" s="160">
        <f t="shared" si="0"/>
        <v>7.4976321330317175E-2</v>
      </c>
      <c r="P4" s="160">
        <f t="shared" si="0"/>
        <v>8.4991053170658581E-2</v>
      </c>
    </row>
    <row r="5" spans="1:16">
      <c r="A5" s="150">
        <v>14</v>
      </c>
      <c r="B5" s="159">
        <v>141496</v>
      </c>
      <c r="C5" s="159">
        <v>162053</v>
      </c>
      <c r="D5" s="159">
        <v>185338</v>
      </c>
      <c r="E5" s="159">
        <v>211799</v>
      </c>
      <c r="F5" s="159">
        <v>241844</v>
      </c>
      <c r="G5" s="159">
        <v>275717</v>
      </c>
      <c r="H5" s="159">
        <v>314005</v>
      </c>
      <c r="J5" s="160">
        <f t="shared" si="1"/>
        <v>2.5102848232835928E-2</v>
      </c>
      <c r="K5" s="160">
        <f t="shared" si="0"/>
        <v>3.5083785324454553E-2</v>
      </c>
      <c r="L5" s="160">
        <f t="shared" si="0"/>
        <v>4.5057820202910159E-2</v>
      </c>
      <c r="M5" s="160">
        <f t="shared" si="0"/>
        <v>5.5067581601709881E-2</v>
      </c>
      <c r="N5" s="160">
        <f t="shared" si="0"/>
        <v>6.5112250521202508E-2</v>
      </c>
      <c r="O5" s="160">
        <f t="shared" si="0"/>
        <v>7.5131736210152456E-2</v>
      </c>
      <c r="P5" s="160">
        <f t="shared" si="0"/>
        <v>8.5164227601283837E-2</v>
      </c>
    </row>
    <row r="6" spans="1:16">
      <c r="A6" s="150">
        <v>15</v>
      </c>
      <c r="B6" s="159">
        <v>145267</v>
      </c>
      <c r="C6" s="159">
        <v>167993</v>
      </c>
      <c r="D6" s="159">
        <v>193984</v>
      </c>
      <c r="E6" s="159">
        <v>223909</v>
      </c>
      <c r="F6" s="159">
        <v>258090</v>
      </c>
      <c r="G6" s="159">
        <v>296993</v>
      </c>
      <c r="H6" s="159">
        <v>341544</v>
      </c>
      <c r="J6" s="160">
        <f t="shared" si="1"/>
        <v>2.5205981025058444E-2</v>
      </c>
      <c r="K6" s="160">
        <f t="shared" si="0"/>
        <v>3.5188437185128096E-2</v>
      </c>
      <c r="L6" s="160">
        <f t="shared" si="0"/>
        <v>4.516388377161773E-2</v>
      </c>
      <c r="M6" s="160">
        <f t="shared" si="0"/>
        <v>5.5208068583216585E-2</v>
      </c>
      <c r="N6" s="160">
        <f t="shared" si="0"/>
        <v>6.5249678603116479E-2</v>
      </c>
      <c r="O6" s="160">
        <f t="shared" si="0"/>
        <v>7.5267239498702621E-2</v>
      </c>
      <c r="P6" s="160">
        <f t="shared" si="0"/>
        <v>8.5333256345477615E-2</v>
      </c>
    </row>
    <row r="7" spans="1:16">
      <c r="A7" s="150">
        <v>16</v>
      </c>
      <c r="B7" s="159">
        <v>149140</v>
      </c>
      <c r="C7" s="159">
        <v>174153</v>
      </c>
      <c r="D7" s="159">
        <v>203061</v>
      </c>
      <c r="E7" s="159">
        <v>236713</v>
      </c>
      <c r="F7" s="159">
        <v>275429</v>
      </c>
      <c r="G7" s="159">
        <v>320047</v>
      </c>
      <c r="H7" s="159">
        <v>371501</v>
      </c>
      <c r="J7" s="160">
        <f t="shared" si="1"/>
        <v>2.5296874956047155E-2</v>
      </c>
      <c r="K7" s="160">
        <f t="shared" si="0"/>
        <v>3.528086010476672E-2</v>
      </c>
      <c r="L7" s="160">
        <f t="shared" si="0"/>
        <v>4.526559919568518E-2</v>
      </c>
      <c r="M7" s="160">
        <f t="shared" si="0"/>
        <v>5.5331452613228693E-2</v>
      </c>
      <c r="N7" s="160">
        <f t="shared" si="0"/>
        <v>6.5370345545085584E-2</v>
      </c>
      <c r="O7" s="160">
        <f t="shared" si="0"/>
        <v>7.541443113983104E-2</v>
      </c>
      <c r="P7" s="160">
        <f t="shared" si="0"/>
        <v>8.5481682652556845E-2</v>
      </c>
    </row>
    <row r="8" spans="1:16">
      <c r="A8" s="150">
        <v>17</v>
      </c>
      <c r="B8" s="159">
        <v>153117</v>
      </c>
      <c r="C8" s="159">
        <v>180539</v>
      </c>
      <c r="D8" s="159">
        <v>212644</v>
      </c>
      <c r="E8" s="159">
        <v>250252</v>
      </c>
      <c r="F8" s="159">
        <v>293935</v>
      </c>
      <c r="G8" s="159">
        <v>344922</v>
      </c>
      <c r="H8" s="159">
        <v>404089</v>
      </c>
      <c r="J8" s="160">
        <f t="shared" si="1"/>
        <v>2.5377374062830027E-2</v>
      </c>
      <c r="K8" s="160">
        <f t="shared" si="0"/>
        <v>3.5362458396534402E-2</v>
      </c>
      <c r="L8" s="160">
        <f t="shared" si="0"/>
        <v>4.5378860743262583E-2</v>
      </c>
      <c r="M8" s="160">
        <f t="shared" si="0"/>
        <v>5.5441031668007401E-2</v>
      </c>
      <c r="N8" s="160">
        <f t="shared" si="0"/>
        <v>6.5477282215933741E-2</v>
      </c>
      <c r="O8" s="160">
        <f t="shared" si="0"/>
        <v>7.5550089933752451E-2</v>
      </c>
      <c r="P8" s="160">
        <f t="shared" si="0"/>
        <v>8.5613210081750157E-2</v>
      </c>
    </row>
    <row r="9" spans="1:16">
      <c r="A9" s="150">
        <v>18</v>
      </c>
      <c r="B9" s="159">
        <v>157201</v>
      </c>
      <c r="C9" s="159">
        <v>187161</v>
      </c>
      <c r="D9" s="159">
        <v>222682</v>
      </c>
      <c r="E9" s="159">
        <v>264567</v>
      </c>
      <c r="F9" s="159">
        <v>313792</v>
      </c>
      <c r="G9" s="159">
        <v>371734</v>
      </c>
      <c r="H9" s="159">
        <v>439538</v>
      </c>
      <c r="J9" s="160">
        <f t="shared" si="1"/>
        <v>2.5449277846065543E-2</v>
      </c>
      <c r="K9" s="160">
        <f t="shared" si="0"/>
        <v>3.5435558793422084E-2</v>
      </c>
      <c r="L9" s="160">
        <f t="shared" si="0"/>
        <v>4.548026584095255E-2</v>
      </c>
      <c r="M9" s="160">
        <f t="shared" si="0"/>
        <v>5.5538805106481792E-2</v>
      </c>
      <c r="N9" s="160">
        <f t="shared" si="0"/>
        <v>6.5592646531051235E-2</v>
      </c>
      <c r="O9" s="160">
        <f t="shared" si="0"/>
        <v>7.5671275281801398E-2</v>
      </c>
      <c r="P9" s="160">
        <f t="shared" si="0"/>
        <v>8.5730464245708182E-2</v>
      </c>
    </row>
    <row r="10" spans="1:16">
      <c r="A10" s="150">
        <v>19</v>
      </c>
      <c r="B10" s="159">
        <v>161395</v>
      </c>
      <c r="C10" s="159">
        <v>194026</v>
      </c>
      <c r="D10" s="159">
        <v>233194</v>
      </c>
      <c r="E10" s="159">
        <v>279703</v>
      </c>
      <c r="F10" s="159">
        <v>335048</v>
      </c>
      <c r="G10" s="159">
        <v>400632</v>
      </c>
      <c r="H10" s="159">
        <v>478101</v>
      </c>
      <c r="J10" s="160">
        <f t="shared" si="1"/>
        <v>2.5513974872905631E-2</v>
      </c>
      <c r="K10" s="160">
        <f t="shared" si="0"/>
        <v>3.5501000048085762E-2</v>
      </c>
      <c r="L10" s="160">
        <f t="shared" si="0"/>
        <v>4.557104035949644E-2</v>
      </c>
      <c r="M10" s="160">
        <f t="shared" si="0"/>
        <v>5.5626721054694794E-2</v>
      </c>
      <c r="N10" s="160">
        <f t="shared" si="0"/>
        <v>6.5705512179475845E-2</v>
      </c>
      <c r="O10" s="160">
        <f t="shared" si="0"/>
        <v>7.5779971505420374E-2</v>
      </c>
      <c r="P10" s="160">
        <f t="shared" si="0"/>
        <v>8.5835889938246979E-2</v>
      </c>
    </row>
    <row r="11" spans="1:16">
      <c r="A11" s="150">
        <v>20</v>
      </c>
      <c r="B11" s="159">
        <v>165701</v>
      </c>
      <c r="C11" s="159">
        <v>201154</v>
      </c>
      <c r="D11" s="159">
        <v>244205</v>
      </c>
      <c r="E11" s="159">
        <v>295707</v>
      </c>
      <c r="F11" s="159">
        <v>357747</v>
      </c>
      <c r="G11" s="159">
        <v>431780</v>
      </c>
      <c r="H11" s="159">
        <v>520050</v>
      </c>
      <c r="J11" s="160">
        <f t="shared" si="1"/>
        <v>2.5572238908992739E-2</v>
      </c>
      <c r="K11" s="160">
        <f t="shared" si="0"/>
        <v>3.5562782238449442E-2</v>
      </c>
      <c r="L11" s="160">
        <f t="shared" si="0"/>
        <v>4.565333657679771E-2</v>
      </c>
      <c r="M11" s="160">
        <f t="shared" si="0"/>
        <v>5.5706219831173964E-2</v>
      </c>
      <c r="N11" s="160">
        <f t="shared" si="0"/>
        <v>6.5807568755384738E-2</v>
      </c>
      <c r="O11" s="160">
        <f t="shared" si="0"/>
        <v>7.5878245571735059E-2</v>
      </c>
      <c r="P11" s="160">
        <f t="shared" si="0"/>
        <v>8.5931059898763928E-2</v>
      </c>
    </row>
    <row r="12" spans="1:16">
      <c r="A12" s="150">
        <v>21</v>
      </c>
      <c r="B12" s="159">
        <v>170123</v>
      </c>
      <c r="C12" s="159">
        <v>208640</v>
      </c>
      <c r="D12" s="159">
        <v>255737</v>
      </c>
      <c r="E12" s="159">
        <v>312733</v>
      </c>
      <c r="F12" s="159">
        <v>381986</v>
      </c>
      <c r="G12" s="159">
        <v>465352</v>
      </c>
      <c r="H12" s="159">
        <v>565683</v>
      </c>
      <c r="J12" s="160">
        <f t="shared" si="1"/>
        <v>2.5625277345942443E-2</v>
      </c>
      <c r="K12" s="160">
        <f t="shared" si="0"/>
        <v>3.564141229969775E-2</v>
      </c>
      <c r="L12" s="160">
        <f t="shared" si="0"/>
        <v>4.5728011022770465E-2</v>
      </c>
      <c r="M12" s="160">
        <f t="shared" si="0"/>
        <v>5.5795242063697792E-2</v>
      </c>
      <c r="N12" s="160">
        <f t="shared" si="0"/>
        <v>6.5900203320961692E-2</v>
      </c>
      <c r="O12" s="160">
        <f t="shared" si="0"/>
        <v>7.5967424641443237E-2</v>
      </c>
      <c r="P12" s="160">
        <f t="shared" si="0"/>
        <v>8.601748023630984E-2</v>
      </c>
    </row>
    <row r="13" spans="1:16">
      <c r="A13" s="150">
        <v>22</v>
      </c>
      <c r="B13" s="159">
        <v>174665</v>
      </c>
      <c r="C13" s="159">
        <v>216406</v>
      </c>
      <c r="D13" s="159">
        <v>267815</v>
      </c>
      <c r="E13" s="159">
        <v>330796</v>
      </c>
      <c r="F13" s="159">
        <v>407870</v>
      </c>
      <c r="G13" s="159">
        <v>501537</v>
      </c>
      <c r="H13" s="159">
        <v>615324</v>
      </c>
      <c r="J13" s="160">
        <f t="shared" si="1"/>
        <v>2.5674028129101023E-2</v>
      </c>
      <c r="K13" s="160">
        <f t="shared" si="0"/>
        <v>3.5713205332299269E-2</v>
      </c>
      <c r="L13" s="160">
        <f t="shared" si="0"/>
        <v>4.5796155107582726E-2</v>
      </c>
      <c r="M13" s="160">
        <f t="shared" si="0"/>
        <v>5.5884403556558881E-2</v>
      </c>
      <c r="N13" s="160">
        <f t="shared" si="0"/>
        <v>6.5984743896676745E-2</v>
      </c>
      <c r="O13" s="160">
        <f t="shared" si="0"/>
        <v>7.6048765380279715E-2</v>
      </c>
      <c r="P13" s="160">
        <f t="shared" si="0"/>
        <v>8.6096357111983934E-2</v>
      </c>
    </row>
    <row r="14" spans="1:16">
      <c r="A14" s="150">
        <v>23</v>
      </c>
      <c r="B14" s="159">
        <v>179328</v>
      </c>
      <c r="C14" s="159">
        <v>224463</v>
      </c>
      <c r="D14" s="159">
        <v>280466</v>
      </c>
      <c r="E14" s="159">
        <v>349905</v>
      </c>
      <c r="F14" s="159">
        <v>435511</v>
      </c>
      <c r="G14" s="159">
        <v>540540</v>
      </c>
      <c r="H14" s="159">
        <v>669324</v>
      </c>
      <c r="J14" s="160">
        <f t="shared" si="1"/>
        <v>2.5718476130301537E-2</v>
      </c>
      <c r="K14" s="160">
        <f t="shared" si="0"/>
        <v>3.5779147833088443E-2</v>
      </c>
      <c r="L14" s="160">
        <f t="shared" si="0"/>
        <v>4.5858795426197974E-2</v>
      </c>
      <c r="M14" s="160">
        <f t="shared" si="0"/>
        <v>5.5966173718892565E-2</v>
      </c>
      <c r="N14" s="160">
        <f t="shared" si="0"/>
        <v>6.6062264385070346E-2</v>
      </c>
      <c r="O14" s="160">
        <f t="shared" si="0"/>
        <v>7.612341182762461E-2</v>
      </c>
      <c r="P14" s="160">
        <f t="shared" si="0"/>
        <v>8.6168577614480713E-2</v>
      </c>
    </row>
    <row r="15" spans="1:16">
      <c r="A15" s="150">
        <v>24</v>
      </c>
      <c r="B15" s="159">
        <v>184117</v>
      </c>
      <c r="C15" s="159">
        <v>232821</v>
      </c>
      <c r="D15" s="159">
        <v>293716</v>
      </c>
      <c r="E15" s="159">
        <v>370120</v>
      </c>
      <c r="F15" s="159">
        <v>465027</v>
      </c>
      <c r="G15" s="159">
        <v>582578</v>
      </c>
      <c r="H15" s="159">
        <v>728067</v>
      </c>
      <c r="J15" s="160">
        <f t="shared" si="1"/>
        <v>2.5759572982324563E-2</v>
      </c>
      <c r="K15" s="160">
        <f t="shared" si="0"/>
        <v>3.5839789804287037E-2</v>
      </c>
      <c r="L15" s="160">
        <f t="shared" si="0"/>
        <v>4.5916425875893729E-2</v>
      </c>
      <c r="M15" s="160">
        <f t="shared" si="0"/>
        <v>5.6041389172391209E-2</v>
      </c>
      <c r="N15" s="160">
        <f t="shared" si="0"/>
        <v>6.6133501077360712E-2</v>
      </c>
      <c r="O15" s="160">
        <f t="shared" si="0"/>
        <v>7.6191985133939877E-2</v>
      </c>
      <c r="P15" s="160">
        <f t="shared" si="0"/>
        <v>8.6235034683031397E-2</v>
      </c>
    </row>
    <row r="16" spans="1:16">
      <c r="A16" s="150">
        <v>25</v>
      </c>
      <c r="B16" s="159">
        <v>189035</v>
      </c>
      <c r="C16" s="159">
        <v>241491</v>
      </c>
      <c r="D16" s="159">
        <v>307671</v>
      </c>
      <c r="E16" s="159">
        <v>391506</v>
      </c>
      <c r="F16" s="159">
        <v>496547</v>
      </c>
      <c r="G16" s="159">
        <v>627888</v>
      </c>
      <c r="H16" s="159">
        <v>791969</v>
      </c>
      <c r="J16" s="160">
        <f t="shared" si="1"/>
        <v>2.5797624159118904E-2</v>
      </c>
      <c r="K16" s="160">
        <f t="shared" si="0"/>
        <v>3.5895718314319813E-2</v>
      </c>
      <c r="L16" s="160">
        <f t="shared" si="0"/>
        <v>4.5980197448762139E-2</v>
      </c>
      <c r="M16" s="160">
        <f t="shared" si="0"/>
        <v>5.6110929032987755E-2</v>
      </c>
      <c r="N16" s="160">
        <f t="shared" si="0"/>
        <v>6.6199352624551677E-2</v>
      </c>
      <c r="O16" s="160">
        <f t="shared" si="0"/>
        <v>7.6255260793063551E-2</v>
      </c>
      <c r="P16" s="160">
        <f t="shared" si="0"/>
        <v>8.6296367514769434E-2</v>
      </c>
    </row>
    <row r="17" spans="1:16">
      <c r="A17" s="150">
        <v>26</v>
      </c>
      <c r="B17" s="159">
        <v>194086</v>
      </c>
      <c r="C17" s="159">
        <v>250486</v>
      </c>
      <c r="D17" s="159">
        <v>322371</v>
      </c>
      <c r="E17" s="159">
        <v>414129</v>
      </c>
      <c r="F17" s="159">
        <v>530205</v>
      </c>
      <c r="G17" s="159">
        <v>676726</v>
      </c>
      <c r="H17" s="159">
        <v>861483</v>
      </c>
      <c r="J17" s="160">
        <f t="shared" si="1"/>
        <v>2.5833081735860963E-2</v>
      </c>
      <c r="K17" s="160">
        <f t="shared" si="0"/>
        <v>3.5947687503920855E-2</v>
      </c>
      <c r="L17" s="160">
        <f t="shared" si="0"/>
        <v>4.6049298478505252E-2</v>
      </c>
      <c r="M17" s="160">
        <f t="shared" si="0"/>
        <v>5.6175250271968569E-2</v>
      </c>
      <c r="N17" s="160">
        <f t="shared" si="0"/>
        <v>6.6260261590513014E-2</v>
      </c>
      <c r="O17" s="160">
        <f t="shared" si="0"/>
        <v>7.6313918005689985E-2</v>
      </c>
      <c r="P17" s="160">
        <f t="shared" si="0"/>
        <v>8.6353148480196262E-2</v>
      </c>
    </row>
    <row r="18" spans="1:16">
      <c r="A18" s="150">
        <v>27</v>
      </c>
      <c r="B18" s="159">
        <v>199272</v>
      </c>
      <c r="C18" s="159">
        <v>259818</v>
      </c>
      <c r="D18" s="159">
        <v>337776</v>
      </c>
      <c r="E18" s="159">
        <v>438062</v>
      </c>
      <c r="F18" s="159">
        <v>566148</v>
      </c>
      <c r="G18" s="159">
        <v>729366</v>
      </c>
      <c r="H18" s="159">
        <v>937101</v>
      </c>
      <c r="J18" s="160">
        <f t="shared" si="1"/>
        <v>2.5865921103827461E-2</v>
      </c>
      <c r="K18" s="160">
        <f t="shared" si="0"/>
        <v>3.5996098366354312E-2</v>
      </c>
      <c r="L18" s="160">
        <f t="shared" si="0"/>
        <v>4.611358997258308E-2</v>
      </c>
      <c r="M18" s="160">
        <f t="shared" si="0"/>
        <v>5.6235055156897751E-2</v>
      </c>
      <c r="N18" s="160">
        <f t="shared" si="0"/>
        <v>6.6316907584272222E-2</v>
      </c>
      <c r="O18" s="160">
        <f t="shared" si="0"/>
        <v>7.6368414148820785E-2</v>
      </c>
      <c r="P18" s="160">
        <f t="shared" si="0"/>
        <v>8.6405833583751646E-2</v>
      </c>
    </row>
    <row r="19" spans="1:16">
      <c r="A19" s="150">
        <v>28</v>
      </c>
      <c r="B19" s="159">
        <v>204684</v>
      </c>
      <c r="C19" s="159">
        <v>269498</v>
      </c>
      <c r="D19" s="159">
        <v>353918</v>
      </c>
      <c r="E19" s="159">
        <v>463380</v>
      </c>
      <c r="F19" s="159">
        <v>604530</v>
      </c>
      <c r="G19" s="159">
        <v>786103</v>
      </c>
      <c r="H19" s="159">
        <v>1019361</v>
      </c>
      <c r="J19" s="160">
        <f t="shared" si="1"/>
        <v>2.5912069393767334E-2</v>
      </c>
      <c r="K19" s="160">
        <f t="shared" si="1"/>
        <v>3.6041098777528369E-2</v>
      </c>
      <c r="L19" s="160">
        <f t="shared" si="1"/>
        <v>4.6173382289477871E-2</v>
      </c>
      <c r="M19" s="160">
        <f t="shared" si="1"/>
        <v>5.6290744668485937E-2</v>
      </c>
      <c r="N19" s="160">
        <f t="shared" si="1"/>
        <v>6.6369661120043943E-2</v>
      </c>
      <c r="O19" s="160">
        <f t="shared" si="1"/>
        <v>7.6419134130966349E-2</v>
      </c>
      <c r="P19" s="160">
        <f t="shared" si="1"/>
        <v>8.6454929553888116E-2</v>
      </c>
    </row>
    <row r="20" spans="1:16">
      <c r="A20" s="150">
        <v>29</v>
      </c>
      <c r="B20" s="159">
        <v>210260</v>
      </c>
      <c r="C20" s="159">
        <v>279541</v>
      </c>
      <c r="D20" s="159">
        <v>370834</v>
      </c>
      <c r="E20" s="159">
        <v>490163</v>
      </c>
      <c r="F20" s="159">
        <v>645517</v>
      </c>
      <c r="G20" s="159">
        <v>847257</v>
      </c>
      <c r="H20" s="159">
        <v>1108845</v>
      </c>
      <c r="J20" s="160">
        <f t="shared" si="1"/>
        <v>2.5957900137233203E-2</v>
      </c>
      <c r="K20" s="160">
        <f t="shared" si="1"/>
        <v>3.6083298287516552E-2</v>
      </c>
      <c r="L20" s="160">
        <f t="shared" si="1"/>
        <v>4.6229305932025344E-2</v>
      </c>
      <c r="M20" s="160">
        <f t="shared" si="1"/>
        <v>5.6342725041022002E-2</v>
      </c>
      <c r="N20" s="160">
        <f t="shared" si="1"/>
        <v>6.6418943607279068E-2</v>
      </c>
      <c r="O20" s="160">
        <f t="shared" si="1"/>
        <v>7.6466509850287689E-2</v>
      </c>
      <c r="P20" s="160">
        <f t="shared" si="1"/>
        <v>8.6500746512808924E-2</v>
      </c>
    </row>
    <row r="21" spans="1:16">
      <c r="A21" s="150">
        <v>30</v>
      </c>
      <c r="B21" s="159">
        <v>215990</v>
      </c>
      <c r="C21" s="159">
        <v>289959</v>
      </c>
      <c r="D21" s="159">
        <v>388560</v>
      </c>
      <c r="E21" s="159">
        <v>518497</v>
      </c>
      <c r="F21" s="159">
        <v>689285</v>
      </c>
      <c r="G21" s="159">
        <v>913171</v>
      </c>
      <c r="H21" s="159">
        <v>1206188</v>
      </c>
      <c r="J21" s="160">
        <f t="shared" si="1"/>
        <v>2.6001009648475959E-2</v>
      </c>
      <c r="K21" s="160">
        <f t="shared" si="1"/>
        <v>3.6122774398999802E-2</v>
      </c>
      <c r="L21" s="160">
        <f t="shared" si="1"/>
        <v>4.6281636546481986E-2</v>
      </c>
      <c r="M21" s="160">
        <f t="shared" si="1"/>
        <v>5.6391443635473992E-2</v>
      </c>
      <c r="N21" s="160">
        <f t="shared" si="1"/>
        <v>6.6465050464044495E-2</v>
      </c>
      <c r="O21" s="160">
        <f t="shared" si="1"/>
        <v>7.651083097339284E-2</v>
      </c>
      <c r="P21" s="160">
        <f t="shared" si="1"/>
        <v>8.6543621856934871E-2</v>
      </c>
    </row>
    <row r="22" spans="1:16">
      <c r="A22" s="150">
        <v>31</v>
      </c>
      <c r="B22" s="159">
        <v>221877</v>
      </c>
      <c r="C22" s="159">
        <v>300767</v>
      </c>
      <c r="D22" s="159">
        <v>407135</v>
      </c>
      <c r="E22" s="159">
        <v>548471</v>
      </c>
      <c r="F22" s="159">
        <v>736023</v>
      </c>
      <c r="G22" s="159">
        <v>984215</v>
      </c>
      <c r="H22" s="159">
        <v>1312079</v>
      </c>
      <c r="J22" s="160">
        <f t="shared" si="1"/>
        <v>2.604146577001365E-2</v>
      </c>
      <c r="K22" s="160">
        <f t="shared" si="1"/>
        <v>3.6159898340778041E-2</v>
      </c>
      <c r="L22" s="160">
        <f t="shared" si="1"/>
        <v>4.6330733530509871E-2</v>
      </c>
      <c r="M22" s="160">
        <f t="shared" si="1"/>
        <v>5.6437154452496641E-2</v>
      </c>
      <c r="N22" s="160">
        <f t="shared" si="1"/>
        <v>6.6508296557505897E-2</v>
      </c>
      <c r="O22" s="160">
        <f t="shared" si="1"/>
        <v>7.65523681593967E-2</v>
      </c>
      <c r="P22" s="160">
        <f t="shared" si="1"/>
        <v>8.6583798771910025E-2</v>
      </c>
    </row>
    <row r="23" spans="1:16">
      <c r="A23" s="150">
        <v>32</v>
      </c>
      <c r="B23" s="159">
        <v>227926</v>
      </c>
      <c r="C23" s="159">
        <v>312136</v>
      </c>
      <c r="D23" s="159">
        <v>426600</v>
      </c>
      <c r="E23" s="159">
        <v>580180</v>
      </c>
      <c r="F23" s="159">
        <v>785933</v>
      </c>
      <c r="G23" s="159">
        <v>1060791</v>
      </c>
      <c r="H23" s="159">
        <v>1427270</v>
      </c>
      <c r="J23" s="160">
        <f t="shared" si="1"/>
        <v>2.6079612125547103E-2</v>
      </c>
      <c r="K23" s="160">
        <f t="shared" si="1"/>
        <v>3.6211113030257147E-2</v>
      </c>
      <c r="L23" s="160">
        <f t="shared" si="1"/>
        <v>4.6376919449514054E-2</v>
      </c>
      <c r="M23" s="160">
        <f t="shared" si="1"/>
        <v>5.6480136529612146E-2</v>
      </c>
      <c r="N23" s="160">
        <f t="shared" si="1"/>
        <v>6.6548962650493149E-2</v>
      </c>
      <c r="O23" s="160">
        <f t="shared" si="1"/>
        <v>7.6591463962233375E-2</v>
      </c>
      <c r="P23" s="160">
        <f t="shared" si="1"/>
        <v>8.6621557590124354E-2</v>
      </c>
    </row>
    <row r="24" spans="1:16">
      <c r="A24" s="150">
        <v>33</v>
      </c>
      <c r="B24" s="159">
        <v>234140</v>
      </c>
      <c r="C24" s="159">
        <v>323935</v>
      </c>
      <c r="D24" s="159">
        <v>446998</v>
      </c>
      <c r="E24" s="159">
        <v>613724</v>
      </c>
      <c r="F24" s="159">
        <v>839230</v>
      </c>
      <c r="G24" s="159">
        <v>1143326</v>
      </c>
      <c r="H24" s="159">
        <v>1552578</v>
      </c>
      <c r="J24" s="160">
        <f t="shared" si="1"/>
        <v>2.6115459426883092E-2</v>
      </c>
      <c r="K24" s="160">
        <f t="shared" si="1"/>
        <v>3.6259250487114647E-2</v>
      </c>
      <c r="L24" s="160">
        <f t="shared" si="1"/>
        <v>4.6420477219596412E-2</v>
      </c>
      <c r="M24" s="160">
        <f t="shared" si="1"/>
        <v>5.6520608778447334E-2</v>
      </c>
      <c r="N24" s="160">
        <f t="shared" si="1"/>
        <v>6.6587265056346379E-2</v>
      </c>
      <c r="O24" s="160">
        <f t="shared" si="1"/>
        <v>7.6628222157204329E-2</v>
      </c>
      <c r="P24" s="160">
        <f t="shared" si="1"/>
        <v>8.6657115457133838E-2</v>
      </c>
    </row>
    <row r="25" spans="1:16">
      <c r="A25" s="150">
        <v>34</v>
      </c>
      <c r="B25" s="159">
        <v>240525</v>
      </c>
      <c r="C25" s="159">
        <v>336182</v>
      </c>
      <c r="D25" s="159">
        <v>468372</v>
      </c>
      <c r="E25" s="159">
        <v>649210</v>
      </c>
      <c r="F25" s="159">
        <v>896144</v>
      </c>
      <c r="G25" s="159">
        <v>1232287</v>
      </c>
      <c r="H25" s="159">
        <v>1688890</v>
      </c>
      <c r="J25" s="160">
        <f t="shared" si="1"/>
        <v>2.6149398250663536E-2</v>
      </c>
      <c r="K25" s="160">
        <f t="shared" si="1"/>
        <v>3.6304738612068288E-2</v>
      </c>
      <c r="L25" s="160">
        <f t="shared" si="1"/>
        <v>4.6461518047694161E-2</v>
      </c>
      <c r="M25" s="160">
        <f t="shared" si="1"/>
        <v>5.6558826270986184E-2</v>
      </c>
      <c r="N25" s="160">
        <f t="shared" si="1"/>
        <v>6.6623411376891095E-2</v>
      </c>
      <c r="O25" s="160">
        <f t="shared" si="1"/>
        <v>7.6662931091432629E-2</v>
      </c>
      <c r="P25" s="160">
        <f t="shared" si="1"/>
        <v>8.6690630271933022E-2</v>
      </c>
    </row>
    <row r="26" spans="1:16">
      <c r="A26" s="150">
        <v>35</v>
      </c>
      <c r="B26" s="159">
        <v>247085</v>
      </c>
      <c r="C26" s="159">
        <v>348893</v>
      </c>
      <c r="D26" s="159">
        <v>490770</v>
      </c>
      <c r="E26" s="159">
        <v>686749</v>
      </c>
      <c r="F26" s="159">
        <v>956920</v>
      </c>
      <c r="G26" s="159">
        <v>1328172</v>
      </c>
      <c r="H26" s="159">
        <v>1837173</v>
      </c>
      <c r="J26" s="160">
        <f t="shared" si="1"/>
        <v>2.6181503280986895E-2</v>
      </c>
      <c r="K26" s="160">
        <f t="shared" si="1"/>
        <v>3.6347712251635134E-2</v>
      </c>
      <c r="L26" s="160">
        <f t="shared" si="1"/>
        <v>4.650033483965843E-2</v>
      </c>
      <c r="M26" s="160">
        <f t="shared" si="1"/>
        <v>5.6594912684590604E-2</v>
      </c>
      <c r="N26" s="160">
        <f t="shared" si="1"/>
        <v>6.6657565527262985E-2</v>
      </c>
      <c r="O26" s="160">
        <f t="shared" si="1"/>
        <v>7.6695704878461113E-2</v>
      </c>
      <c r="P26" s="160">
        <f t="shared" si="1"/>
        <v>8.6722284783164127E-2</v>
      </c>
    </row>
    <row r="27" spans="1:16">
      <c r="A27" s="150">
        <v>36</v>
      </c>
      <c r="B27" s="159">
        <v>253824</v>
      </c>
      <c r="C27" s="159">
        <v>362086</v>
      </c>
      <c r="D27" s="159">
        <v>514241</v>
      </c>
      <c r="E27" s="159">
        <v>726462</v>
      </c>
      <c r="F27" s="159">
        <v>1021820</v>
      </c>
      <c r="G27" s="159">
        <v>1431521</v>
      </c>
      <c r="H27" s="159">
        <v>1998479</v>
      </c>
      <c r="J27" s="160">
        <f t="shared" si="1"/>
        <v>2.6211835134302808E-2</v>
      </c>
      <c r="K27" s="160">
        <f t="shared" si="1"/>
        <v>3.6388411306977675E-2</v>
      </c>
      <c r="L27" s="160">
        <f t="shared" si="1"/>
        <v>4.6537104217453384E-2</v>
      </c>
      <c r="M27" s="160">
        <f t="shared" si="1"/>
        <v>5.6629132717034514E-2</v>
      </c>
      <c r="N27" s="160">
        <f t="shared" si="1"/>
        <v>6.6689887158416505E-2</v>
      </c>
      <c r="O27" s="160">
        <f t="shared" si="1"/>
        <v>7.6726724209461805E-2</v>
      </c>
      <c r="P27" s="160">
        <f t="shared" si="1"/>
        <v>8.6752240286225524E-2</v>
      </c>
    </row>
    <row r="28" spans="1:16">
      <c r="A28" s="150">
        <v>37</v>
      </c>
      <c r="B28" s="159">
        <v>260749</v>
      </c>
      <c r="C28" s="159">
        <v>375779</v>
      </c>
      <c r="D28" s="159">
        <v>538837</v>
      </c>
      <c r="E28" s="159">
        <v>768473</v>
      </c>
      <c r="F28" s="159">
        <v>1091124</v>
      </c>
      <c r="G28" s="159">
        <v>1542916</v>
      </c>
      <c r="H28" s="159">
        <v>2173950</v>
      </c>
      <c r="J28" s="160">
        <f t="shared" si="1"/>
        <v>2.6240762315102639E-2</v>
      </c>
      <c r="K28" s="160">
        <f t="shared" si="1"/>
        <v>3.6426995477135238E-2</v>
      </c>
      <c r="L28" s="160">
        <f t="shared" si="1"/>
        <v>4.6572018644489122E-2</v>
      </c>
      <c r="M28" s="160">
        <f t="shared" si="1"/>
        <v>5.6661559603864209E-2</v>
      </c>
      <c r="N28" s="160">
        <f t="shared" si="1"/>
        <v>6.672052513600768E-2</v>
      </c>
      <c r="O28" s="160">
        <f t="shared" si="1"/>
        <v>7.6756145124724506E-2</v>
      </c>
      <c r="P28" s="160">
        <f t="shared" si="1"/>
        <v>8.6780606234575064E-2</v>
      </c>
    </row>
    <row r="29" spans="1:16">
      <c r="A29" s="150">
        <v>38</v>
      </c>
      <c r="B29" s="159">
        <v>267863</v>
      </c>
      <c r="C29" s="159">
        <v>389992</v>
      </c>
      <c r="D29" s="159">
        <v>564610</v>
      </c>
      <c r="E29" s="159">
        <v>812915</v>
      </c>
      <c r="F29" s="159">
        <v>1165132</v>
      </c>
      <c r="G29" s="159">
        <v>1662981</v>
      </c>
      <c r="H29" s="159">
        <v>2364833</v>
      </c>
      <c r="J29" s="160">
        <f t="shared" si="1"/>
        <v>2.6268174561709268E-2</v>
      </c>
      <c r="K29" s="160">
        <f t="shared" si="1"/>
        <v>3.6463702136754206E-2</v>
      </c>
      <c r="L29" s="160">
        <f t="shared" si="1"/>
        <v>4.6605124854750768E-2</v>
      </c>
      <c r="M29" s="160">
        <f t="shared" si="1"/>
        <v>5.6692332762337871E-2</v>
      </c>
      <c r="N29" s="160">
        <f t="shared" si="1"/>
        <v>6.6749636211567376E-2</v>
      </c>
      <c r="O29" s="160">
        <f t="shared" si="1"/>
        <v>7.6784047368330777E-2</v>
      </c>
      <c r="P29" s="160">
        <f t="shared" si="1"/>
        <v>8.6807543381277608E-2</v>
      </c>
    </row>
    <row r="30" spans="1:16">
      <c r="A30" s="150">
        <v>39</v>
      </c>
      <c r="B30" s="159">
        <v>275173</v>
      </c>
      <c r="C30" s="159">
        <v>404743</v>
      </c>
      <c r="D30" s="159">
        <v>591618</v>
      </c>
      <c r="E30" s="159">
        <v>859930</v>
      </c>
      <c r="F30" s="159">
        <v>1244162</v>
      </c>
      <c r="G30" s="159">
        <v>1792392</v>
      </c>
      <c r="H30" s="159">
        <v>2572478</v>
      </c>
      <c r="J30" s="160">
        <f t="shared" si="1"/>
        <v>2.6294364304312534E-2</v>
      </c>
      <c r="K30" s="160">
        <f t="shared" si="1"/>
        <v>3.6498555517054942E-2</v>
      </c>
      <c r="L30" s="160">
        <f t="shared" si="1"/>
        <v>4.6636636661318676E-2</v>
      </c>
      <c r="M30" s="160">
        <f t="shared" si="1"/>
        <v>5.672161841919654E-2</v>
      </c>
      <c r="N30" s="160">
        <f t="shared" si="1"/>
        <v>6.6777304323344389E-2</v>
      </c>
      <c r="O30" s="160">
        <f t="shared" si="1"/>
        <v>7.6810564210813448E-2</v>
      </c>
      <c r="P30" s="160">
        <f t="shared" si="1"/>
        <v>8.6833116846017688E-2</v>
      </c>
    </row>
    <row r="31" spans="1:16">
      <c r="A31" s="150">
        <v>40</v>
      </c>
      <c r="B31" s="159">
        <v>282683</v>
      </c>
      <c r="C31" s="159">
        <v>420054</v>
      </c>
      <c r="D31" s="159">
        <v>619920</v>
      </c>
      <c r="E31" s="159">
        <v>909667</v>
      </c>
      <c r="F31" s="159">
        <v>1328555</v>
      </c>
      <c r="G31" s="159">
        <v>1931877</v>
      </c>
      <c r="H31" s="159">
        <v>2798360</v>
      </c>
      <c r="J31" s="160">
        <f t="shared" si="1"/>
        <v>2.631929143218259E-2</v>
      </c>
      <c r="K31" s="160">
        <f t="shared" si="1"/>
        <v>3.6531794417862473E-2</v>
      </c>
      <c r="L31" s="160">
        <f t="shared" si="1"/>
        <v>4.6666661469587645E-2</v>
      </c>
      <c r="M31" s="160">
        <f t="shared" si="1"/>
        <v>5.6749524301351606E-2</v>
      </c>
      <c r="N31" s="160">
        <f t="shared" si="1"/>
        <v>6.6803639005056592E-2</v>
      </c>
      <c r="O31" s="160">
        <f t="shared" si="1"/>
        <v>7.6835803275310477E-2</v>
      </c>
      <c r="P31" s="160">
        <f t="shared" si="1"/>
        <v>8.6857457414861949E-2</v>
      </c>
    </row>
    <row r="32" spans="1:16">
      <c r="A32" s="150">
        <v>41</v>
      </c>
      <c r="B32" s="159">
        <v>290398</v>
      </c>
      <c r="C32" s="159">
        <v>435946</v>
      </c>
      <c r="D32" s="159">
        <v>649577</v>
      </c>
      <c r="E32" s="159">
        <v>962282</v>
      </c>
      <c r="F32" s="159">
        <v>1418675</v>
      </c>
      <c r="G32" s="159">
        <v>2082219</v>
      </c>
      <c r="H32" s="159">
        <v>3044078</v>
      </c>
      <c r="J32" s="160">
        <f t="shared" si="1"/>
        <v>2.6343006411429171E-2</v>
      </c>
      <c r="K32" s="160">
        <f t="shared" si="1"/>
        <v>3.6563517347428132E-2</v>
      </c>
      <c r="L32" s="160">
        <f t="shared" si="1"/>
        <v>4.6695264913557244E-2</v>
      </c>
      <c r="M32" s="160">
        <f t="shared" si="1"/>
        <v>5.6776104159843355E-2</v>
      </c>
      <c r="N32" s="160">
        <f t="shared" si="1"/>
        <v>6.68287359213664E-2</v>
      </c>
      <c r="O32" s="160">
        <f t="shared" si="1"/>
        <v>7.6859839405359676E-2</v>
      </c>
      <c r="P32" s="160">
        <f t="shared" si="1"/>
        <v>8.6880628056410059E-2</v>
      </c>
    </row>
    <row r="33" spans="1:16">
      <c r="A33" s="150">
        <v>42</v>
      </c>
      <c r="B33" s="159">
        <v>298325</v>
      </c>
      <c r="C33" s="159">
        <v>452439</v>
      </c>
      <c r="D33" s="159">
        <v>680655</v>
      </c>
      <c r="E33" s="159">
        <v>1017942</v>
      </c>
      <c r="F33" s="159">
        <v>1514910</v>
      </c>
      <c r="G33" s="159">
        <v>2244264</v>
      </c>
      <c r="H33" s="159">
        <v>3311376</v>
      </c>
      <c r="J33" s="160">
        <f t="shared" si="1"/>
        <v>2.6365710720276603E-2</v>
      </c>
      <c r="K33" s="160">
        <f t="shared" si="1"/>
        <v>3.6593717160503525E-2</v>
      </c>
      <c r="L33" s="160">
        <f t="shared" si="1"/>
        <v>4.6722587854206132E-2</v>
      </c>
      <c r="M33" s="160">
        <f t="shared" si="1"/>
        <v>5.680146234923078E-2</v>
      </c>
      <c r="N33" s="160">
        <f t="shared" si="1"/>
        <v>6.6852669840233858E-2</v>
      </c>
      <c r="O33" s="160">
        <f t="shared" si="1"/>
        <v>7.6882767173326094E-2</v>
      </c>
      <c r="P33" s="160">
        <f t="shared" si="1"/>
        <v>8.6902727276585212E-2</v>
      </c>
    </row>
    <row r="34" spans="1:16">
      <c r="A34" s="150">
        <v>43</v>
      </c>
      <c r="B34" s="159">
        <v>306585</v>
      </c>
      <c r="C34" s="159">
        <v>469558</v>
      </c>
      <c r="D34" s="159">
        <v>713221</v>
      </c>
      <c r="E34" s="159">
        <v>1076823</v>
      </c>
      <c r="F34" s="159">
        <v>1617676</v>
      </c>
      <c r="G34" s="159">
        <v>2418923</v>
      </c>
      <c r="H34" s="159">
        <v>3602148</v>
      </c>
      <c r="J34" s="160">
        <f t="shared" si="1"/>
        <v>2.63964405427346E-2</v>
      </c>
      <c r="K34" s="160">
        <f t="shared" si="1"/>
        <v>3.6622617157923809E-2</v>
      </c>
      <c r="L34" s="160">
        <f t="shared" si="1"/>
        <v>4.6748678902222007E-2</v>
      </c>
      <c r="M34" s="160">
        <f t="shared" si="1"/>
        <v>5.6825676632942468E-2</v>
      </c>
      <c r="N34" s="160">
        <f t="shared" si="1"/>
        <v>6.6875536365263333E-2</v>
      </c>
      <c r="O34" s="160">
        <f t="shared" si="1"/>
        <v>7.6904661449726852E-2</v>
      </c>
      <c r="P34" s="160">
        <f t="shared" si="1"/>
        <v>8.6923818560957766E-2</v>
      </c>
    </row>
    <row r="35" spans="1:16">
      <c r="A35" s="150">
        <v>44</v>
      </c>
      <c r="B35" s="159">
        <v>315113</v>
      </c>
      <c r="C35" s="159">
        <v>487327</v>
      </c>
      <c r="D35" s="159">
        <v>747347</v>
      </c>
      <c r="E35" s="159">
        <v>1139113</v>
      </c>
      <c r="F35" s="159">
        <v>1727416</v>
      </c>
      <c r="G35" s="159">
        <v>2607178</v>
      </c>
      <c r="H35" s="159">
        <v>3918457</v>
      </c>
      <c r="J35" s="160">
        <f t="shared" si="1"/>
        <v>2.6428683816401177E-2</v>
      </c>
      <c r="K35" s="160">
        <f t="shared" si="1"/>
        <v>3.6650313818611169E-2</v>
      </c>
      <c r="L35" s="160">
        <f t="shared" si="1"/>
        <v>4.6773644344040965E-2</v>
      </c>
      <c r="M35" s="160">
        <f t="shared" si="1"/>
        <v>5.6848856907529832E-2</v>
      </c>
      <c r="N35" s="160">
        <f t="shared" si="1"/>
        <v>6.6897402242743986E-2</v>
      </c>
      <c r="O35" s="160">
        <f t="shared" si="1"/>
        <v>7.6925591261511217E-2</v>
      </c>
      <c r="P35" s="160">
        <f t="shared" si="1"/>
        <v>8.6943978667716193E-2</v>
      </c>
    </row>
    <row r="36" spans="1:16">
      <c r="A36" s="150">
        <v>45</v>
      </c>
      <c r="B36" s="159">
        <v>323880</v>
      </c>
      <c r="C36" s="159">
        <v>505768</v>
      </c>
      <c r="D36" s="159">
        <v>783108</v>
      </c>
      <c r="E36" s="159">
        <v>1205008</v>
      </c>
      <c r="F36" s="159">
        <v>1844602</v>
      </c>
      <c r="G36" s="159">
        <v>2810086</v>
      </c>
      <c r="H36" s="159">
        <v>4262544</v>
      </c>
      <c r="J36" s="160">
        <f t="shared" si="1"/>
        <v>2.6459620665050254E-2</v>
      </c>
      <c r="K36" s="160">
        <f t="shared" si="1"/>
        <v>3.6676761351860598E-2</v>
      </c>
      <c r="L36" s="160">
        <f t="shared" si="1"/>
        <v>4.6797564592442553E-2</v>
      </c>
      <c r="M36" s="160">
        <f t="shared" si="1"/>
        <v>5.6871041863441718E-2</v>
      </c>
      <c r="N36" s="160">
        <f t="shared" si="1"/>
        <v>6.6918315377513027E-2</v>
      </c>
      <c r="O36" s="160">
        <f t="shared" si="1"/>
        <v>7.6945607201666544E-2</v>
      </c>
      <c r="P36" s="160">
        <f t="shared" si="1"/>
        <v>8.6963257409124584E-2</v>
      </c>
    </row>
    <row r="37" spans="1:16">
      <c r="A37" s="150">
        <v>46</v>
      </c>
      <c r="B37" s="159">
        <v>332891</v>
      </c>
      <c r="C37" s="159">
        <v>524909</v>
      </c>
      <c r="D37" s="159">
        <v>820581</v>
      </c>
      <c r="E37" s="159">
        <v>1274717</v>
      </c>
      <c r="F37" s="159">
        <v>1969741</v>
      </c>
      <c r="G37" s="159">
        <v>3028789</v>
      </c>
      <c r="H37" s="159">
        <v>4636849</v>
      </c>
      <c r="J37" s="160">
        <f t="shared" si="1"/>
        <v>2.6489219109743667E-2</v>
      </c>
      <c r="K37" s="160">
        <f t="shared" si="1"/>
        <v>3.6702152874023231E-2</v>
      </c>
      <c r="L37" s="160">
        <f t="shared" si="1"/>
        <v>4.682046793835104E-2</v>
      </c>
      <c r="M37" s="160">
        <f t="shared" si="1"/>
        <v>5.6892301078076635E-2</v>
      </c>
      <c r="N37" s="160">
        <f t="shared" si="1"/>
        <v>6.6938357672275073E-2</v>
      </c>
      <c r="O37" s="160">
        <f t="shared" si="1"/>
        <v>7.6964779085379798E-2</v>
      </c>
      <c r="P37" s="160">
        <f t="shared" si="1"/>
        <v>8.6981713962040796E-2</v>
      </c>
    </row>
    <row r="38" spans="1:16">
      <c r="A38" s="150">
        <v>47</v>
      </c>
      <c r="B38" s="159">
        <v>342153</v>
      </c>
      <c r="C38" s="159">
        <v>544775</v>
      </c>
      <c r="D38" s="159">
        <v>859849</v>
      </c>
      <c r="E38" s="159">
        <v>1348461</v>
      </c>
      <c r="F38" s="159">
        <v>2103372</v>
      </c>
      <c r="G38" s="159">
        <v>3264516</v>
      </c>
      <c r="H38" s="159">
        <v>5044026</v>
      </c>
      <c r="J38" s="160">
        <f t="shared" si="1"/>
        <v>2.651757771905805E-2</v>
      </c>
      <c r="K38" s="160">
        <f t="shared" si="1"/>
        <v>3.6726488819439407E-2</v>
      </c>
      <c r="L38" s="160">
        <f t="shared" si="1"/>
        <v>4.6842445210134365E-2</v>
      </c>
      <c r="M38" s="160">
        <f t="shared" si="1"/>
        <v>5.6912695662298063E-2</v>
      </c>
      <c r="N38" s="160">
        <f t="shared" si="1"/>
        <v>6.6957574317419777E-2</v>
      </c>
      <c r="O38" s="160">
        <f t="shared" si="1"/>
        <v>7.6983155202020148E-2</v>
      </c>
      <c r="P38" s="160">
        <f t="shared" si="1"/>
        <v>8.699940060491862E-2</v>
      </c>
    </row>
    <row r="39" spans="1:16">
      <c r="A39" s="150">
        <v>48</v>
      </c>
      <c r="B39" s="159">
        <v>351674</v>
      </c>
      <c r="C39" s="159">
        <v>565395</v>
      </c>
      <c r="D39" s="159">
        <v>900998</v>
      </c>
      <c r="E39" s="159">
        <v>1426473</v>
      </c>
      <c r="F39" s="159">
        <v>2246070</v>
      </c>
      <c r="G39" s="159">
        <v>3518592</v>
      </c>
      <c r="H39" s="159">
        <v>5486962</v>
      </c>
      <c r="J39" s="160">
        <f t="shared" si="1"/>
        <v>2.6544834761535796E-2</v>
      </c>
      <c r="K39" s="160">
        <f t="shared" si="1"/>
        <v>3.674989306370402E-2</v>
      </c>
      <c r="L39" s="160">
        <f t="shared" si="1"/>
        <v>4.6863552535931552E-2</v>
      </c>
      <c r="M39" s="160">
        <f t="shared" si="1"/>
        <v>5.6932268870532265E-2</v>
      </c>
      <c r="N39" s="160">
        <f t="shared" si="1"/>
        <v>6.697600263963932E-2</v>
      </c>
      <c r="O39" s="160">
        <f t="shared" si="1"/>
        <v>7.700078284956513E-2</v>
      </c>
      <c r="P39" s="160">
        <f t="shared" si="1"/>
        <v>8.7016364792945833E-2</v>
      </c>
    </row>
    <row r="40" spans="1:16">
      <c r="A40" s="150">
        <v>49</v>
      </c>
      <c r="B40" s="159">
        <v>361461</v>
      </c>
      <c r="C40" s="159">
        <v>586796</v>
      </c>
      <c r="D40" s="159">
        <v>944117</v>
      </c>
      <c r="E40" s="159">
        <v>1508999</v>
      </c>
      <c r="F40" s="159">
        <v>2398453</v>
      </c>
      <c r="G40" s="159">
        <v>3792446</v>
      </c>
      <c r="H40" s="159">
        <v>5968797</v>
      </c>
      <c r="J40" s="160">
        <f t="shared" si="1"/>
        <v>2.6571041487214897E-2</v>
      </c>
      <c r="K40" s="160">
        <f t="shared" si="1"/>
        <v>3.6772361384616481E-2</v>
      </c>
      <c r="L40" s="160">
        <f t="shared" si="1"/>
        <v>4.6883816169351222E-2</v>
      </c>
      <c r="M40" s="160">
        <f t="shared" si="1"/>
        <v>5.6951054970161952E-2</v>
      </c>
      <c r="N40" s="160">
        <f t="shared" si="1"/>
        <v>6.6993715508713914E-2</v>
      </c>
      <c r="O40" s="160">
        <f t="shared" si="1"/>
        <v>7.701771077246633E-2</v>
      </c>
      <c r="P40" s="160">
        <f t="shared" si="1"/>
        <v>8.7032648063678941E-2</v>
      </c>
    </row>
    <row r="41" spans="1:16">
      <c r="A41" s="150">
        <v>50</v>
      </c>
      <c r="B41" s="159">
        <v>371521</v>
      </c>
      <c r="C41" s="159">
        <v>609008</v>
      </c>
      <c r="D41" s="159">
        <v>989302</v>
      </c>
      <c r="E41" s="159">
        <v>1596303</v>
      </c>
      <c r="F41" s="159">
        <v>2561176</v>
      </c>
      <c r="G41" s="159">
        <v>4087616</v>
      </c>
      <c r="H41" s="159">
        <v>6492948</v>
      </c>
      <c r="J41" s="160">
        <f t="shared" si="1"/>
        <v>2.6596235402278179E-2</v>
      </c>
      <c r="K41" s="160">
        <f t="shared" si="1"/>
        <v>3.6793963501118743E-2</v>
      </c>
      <c r="L41" s="160">
        <f t="shared" si="1"/>
        <v>4.6903321626588834E-2</v>
      </c>
      <c r="M41" s="160">
        <f t="shared" si="1"/>
        <v>5.6969137725310093E-2</v>
      </c>
      <c r="N41" s="160">
        <f t="shared" si="1"/>
        <v>6.7010734181212062E-2</v>
      </c>
      <c r="O41" s="160">
        <f t="shared" si="1"/>
        <v>7.7033971254831579E-2</v>
      </c>
      <c r="P41" s="160">
        <f t="shared" si="1"/>
        <v>8.7048293241538621E-2</v>
      </c>
    </row>
    <row r="42" spans="1:16">
      <c r="A42" s="150">
        <v>51</v>
      </c>
      <c r="B42" s="159">
        <v>381862</v>
      </c>
      <c r="C42" s="159">
        <v>632063</v>
      </c>
      <c r="D42" s="159">
        <v>1036651</v>
      </c>
      <c r="E42" s="159">
        <v>1688659</v>
      </c>
      <c r="F42" s="159">
        <v>2734941</v>
      </c>
      <c r="G42" s="159">
        <v>4405763</v>
      </c>
      <c r="H42" s="159">
        <v>7063130</v>
      </c>
      <c r="J42" s="160">
        <f t="shared" si="1"/>
        <v>2.662049541723599E-2</v>
      </c>
      <c r="K42" s="160">
        <f t="shared" si="1"/>
        <v>3.6814789942128279E-2</v>
      </c>
      <c r="L42" s="160">
        <f t="shared" si="1"/>
        <v>4.6922091554797651E-2</v>
      </c>
      <c r="M42" s="160">
        <f t="shared" si="1"/>
        <v>5.6986523637070574E-2</v>
      </c>
      <c r="N42" s="160">
        <f t="shared" si="1"/>
        <v>6.7027101477257878E-2</v>
      </c>
      <c r="O42" s="160">
        <f t="shared" si="1"/>
        <v>7.7049611621983871E-2</v>
      </c>
      <c r="P42" s="160">
        <f t="shared" si="1"/>
        <v>8.7063332893326573E-2</v>
      </c>
    </row>
    <row r="43" spans="1:16">
      <c r="A43" s="150">
        <v>52</v>
      </c>
      <c r="B43" s="159">
        <v>392492</v>
      </c>
      <c r="C43" s="159">
        <v>655991</v>
      </c>
      <c r="D43" s="159">
        <v>1086268</v>
      </c>
      <c r="E43" s="159">
        <v>1786361</v>
      </c>
      <c r="F43" s="159">
        <v>2920498</v>
      </c>
      <c r="G43" s="159">
        <v>4748675</v>
      </c>
      <c r="H43" s="159">
        <v>7683387</v>
      </c>
      <c r="J43" s="160">
        <f t="shared" si="1"/>
        <v>2.664388156041575E-2</v>
      </c>
      <c r="K43" s="160">
        <f t="shared" si="1"/>
        <v>3.6834822296829106E-2</v>
      </c>
      <c r="L43" s="160">
        <f t="shared" si="1"/>
        <v>4.6940173774141281E-2</v>
      </c>
      <c r="M43" s="160">
        <f t="shared" si="1"/>
        <v>5.7003271105027897E-2</v>
      </c>
      <c r="N43" s="160">
        <f t="shared" si="1"/>
        <v>6.7042859009898814E-2</v>
      </c>
      <c r="O43" s="160">
        <f t="shared" si="1"/>
        <v>7.7064663772203224E-2</v>
      </c>
      <c r="P43" s="160">
        <f t="shared" si="1"/>
        <v>8.7077805547951526E-2</v>
      </c>
    </row>
    <row r="44" spans="1:16">
      <c r="A44" s="150">
        <v>53</v>
      </c>
      <c r="B44" s="159">
        <v>403418</v>
      </c>
      <c r="C44" s="159">
        <v>680826</v>
      </c>
      <c r="D44" s="159">
        <v>1138261</v>
      </c>
      <c r="E44" s="159">
        <v>1889717</v>
      </c>
      <c r="F44" s="159">
        <v>3118647</v>
      </c>
      <c r="G44" s="159">
        <v>5118279</v>
      </c>
      <c r="H44" s="159">
        <v>8358115</v>
      </c>
      <c r="J44" s="160">
        <f t="shared" si="1"/>
        <v>2.6666390017609398E-2</v>
      </c>
      <c r="K44" s="160">
        <f t="shared" si="1"/>
        <v>3.6854132355038205E-2</v>
      </c>
      <c r="L44" s="160">
        <f t="shared" si="1"/>
        <v>4.6957594633660671E-2</v>
      </c>
      <c r="M44" s="160">
        <f t="shared" si="1"/>
        <v>5.701939932564315E-2</v>
      </c>
      <c r="N44" s="160">
        <f t="shared" si="1"/>
        <v>6.7058038606931936E-2</v>
      </c>
      <c r="O44" s="160">
        <f t="shared" si="1"/>
        <v>7.7079157115081509E-2</v>
      </c>
      <c r="P44" s="160">
        <f t="shared" si="1"/>
        <v>8.7091738155969711E-2</v>
      </c>
    </row>
    <row r="45" spans="1:16">
      <c r="A45" s="150">
        <v>54</v>
      </c>
      <c r="B45" s="159">
        <v>414649</v>
      </c>
      <c r="C45" s="159">
        <v>706603</v>
      </c>
      <c r="D45" s="159">
        <v>1192744</v>
      </c>
      <c r="E45" s="159">
        <v>1999056</v>
      </c>
      <c r="F45" s="159">
        <v>3330242</v>
      </c>
      <c r="G45" s="159">
        <v>5516654</v>
      </c>
      <c r="H45" s="159">
        <v>9092099</v>
      </c>
      <c r="J45" s="160">
        <f t="shared" si="1"/>
        <v>2.6688104148590908E-2</v>
      </c>
      <c r="K45" s="160">
        <f t="shared" si="1"/>
        <v>3.6872775879254638E-2</v>
      </c>
      <c r="L45" s="160">
        <f t="shared" si="1"/>
        <v>4.6974393524491953E-2</v>
      </c>
      <c r="M45" s="160">
        <f t="shared" si="1"/>
        <v>5.7034959681996567E-2</v>
      </c>
      <c r="N45" s="160">
        <f t="shared" si="1"/>
        <v>6.7072668370681932E-2</v>
      </c>
      <c r="O45" s="160">
        <f t="shared" si="1"/>
        <v>7.7093126804405276E-2</v>
      </c>
      <c r="P45" s="160">
        <f t="shared" si="1"/>
        <v>8.7105163240341454E-2</v>
      </c>
    </row>
    <row r="46" spans="1:16">
      <c r="A46" s="150">
        <v>55</v>
      </c>
      <c r="B46" s="159">
        <v>426193</v>
      </c>
      <c r="C46" s="159">
        <v>733357</v>
      </c>
      <c r="D46" s="159">
        <v>1249836</v>
      </c>
      <c r="E46" s="159">
        <v>2114722</v>
      </c>
      <c r="F46" s="159">
        <v>3556196</v>
      </c>
      <c r="G46" s="159">
        <v>5946038</v>
      </c>
      <c r="H46" s="159">
        <v>9890542</v>
      </c>
      <c r="J46" s="160">
        <f t="shared" si="1"/>
        <v>2.6709043709504998E-2</v>
      </c>
      <c r="K46" s="160">
        <f t="shared" si="1"/>
        <v>3.6890768706685062E-2</v>
      </c>
      <c r="L46" s="160">
        <f t="shared" si="1"/>
        <v>4.6990599540114086E-2</v>
      </c>
      <c r="M46" s="160">
        <f t="shared" si="1"/>
        <v>5.7049960303495295E-2</v>
      </c>
      <c r="N46" s="160">
        <f t="shared" si="1"/>
        <v>6.7086780692176884E-2</v>
      </c>
      <c r="O46" s="160">
        <f t="shared" si="1"/>
        <v>7.7106595158290325E-2</v>
      </c>
      <c r="P46" s="160">
        <f t="shared" si="1"/>
        <v>8.7118105849271377E-2</v>
      </c>
    </row>
    <row r="47" spans="1:16">
      <c r="A47" s="150">
        <v>56</v>
      </c>
      <c r="B47" s="159">
        <v>438059</v>
      </c>
      <c r="C47" s="159">
        <v>761124</v>
      </c>
      <c r="D47" s="159">
        <v>1309663</v>
      </c>
      <c r="E47" s="159">
        <v>2237083</v>
      </c>
      <c r="F47" s="159">
        <v>3797483</v>
      </c>
      <c r="G47" s="159">
        <v>6408846</v>
      </c>
      <c r="H47" s="159">
        <v>10759105</v>
      </c>
      <c r="J47" s="160">
        <f t="shared" si="1"/>
        <v>2.6729261374989211E-2</v>
      </c>
      <c r="K47" s="160">
        <f t="shared" si="1"/>
        <v>3.6908119653103144E-2</v>
      </c>
      <c r="L47" s="160">
        <f t="shared" si="1"/>
        <v>4.7006258824915603E-2</v>
      </c>
      <c r="M47" s="160">
        <f t="shared" si="1"/>
        <v>5.7064446732604468E-2</v>
      </c>
      <c r="N47" s="160">
        <f t="shared" si="1"/>
        <v>6.7100400314656916E-2</v>
      </c>
      <c r="O47" s="160">
        <f t="shared" si="1"/>
        <v>7.7119592464490072E-2</v>
      </c>
      <c r="P47" s="160">
        <f t="shared" si="1"/>
        <v>8.7130591678181046E-2</v>
      </c>
    </row>
    <row r="48" spans="1:16">
      <c r="A48" s="150">
        <v>57</v>
      </c>
      <c r="B48" s="159">
        <v>450256</v>
      </c>
      <c r="C48" s="159">
        <v>789944</v>
      </c>
      <c r="D48" s="159">
        <v>1372355</v>
      </c>
      <c r="E48" s="159">
        <v>2366526</v>
      </c>
      <c r="F48" s="159">
        <v>4055144</v>
      </c>
      <c r="G48" s="159">
        <v>6907679</v>
      </c>
      <c r="H48" s="159">
        <v>11703947</v>
      </c>
      <c r="J48" s="160">
        <f t="shared" si="1"/>
        <v>2.6748795176247953E-2</v>
      </c>
      <c r="K48" s="160">
        <f t="shared" si="1"/>
        <v>3.6924900337445887E-2</v>
      </c>
      <c r="L48" s="160">
        <f t="shared" si="1"/>
        <v>4.7021385056466691E-2</v>
      </c>
      <c r="M48" s="160">
        <f t="shared" si="1"/>
        <v>5.7078440791750618E-2</v>
      </c>
      <c r="N48" s="160">
        <f t="shared" si="1"/>
        <v>6.7113554860994018E-2</v>
      </c>
      <c r="O48" s="160">
        <f t="shared" si="1"/>
        <v>7.7132140670814309E-2</v>
      </c>
      <c r="P48" s="160">
        <f t="shared" si="1"/>
        <v>8.7142645964294774E-2</v>
      </c>
    </row>
    <row r="49" spans="1:16">
      <c r="A49" s="150">
        <v>58</v>
      </c>
      <c r="B49" s="159">
        <v>462793</v>
      </c>
      <c r="C49" s="159">
        <v>819857</v>
      </c>
      <c r="D49" s="159">
        <v>1438049</v>
      </c>
      <c r="E49" s="159">
        <v>2503461</v>
      </c>
      <c r="F49" s="159">
        <v>4330290</v>
      </c>
      <c r="G49" s="159">
        <v>7445342</v>
      </c>
      <c r="H49" s="159">
        <v>12731766</v>
      </c>
      <c r="J49" s="160">
        <f t="shared" si="1"/>
        <v>2.676767087945664E-2</v>
      </c>
      <c r="K49" s="160">
        <f t="shared" si="1"/>
        <v>3.6941140343095924E-2</v>
      </c>
      <c r="L49" s="160">
        <f t="shared" si="1"/>
        <v>4.7036002567641955E-2</v>
      </c>
      <c r="M49" s="160">
        <f t="shared" si="1"/>
        <v>5.7091967884101091E-2</v>
      </c>
      <c r="N49" s="160">
        <f t="shared" si="1"/>
        <v>6.7126266920221944E-2</v>
      </c>
      <c r="O49" s="160">
        <f t="shared" si="1"/>
        <v>7.714426454237322E-2</v>
      </c>
      <c r="P49" s="160">
        <f t="shared" si="1"/>
        <v>8.7154289070487945E-2</v>
      </c>
    </row>
    <row r="50" spans="1:16">
      <c r="A50" s="150">
        <v>59</v>
      </c>
      <c r="B50" s="159">
        <v>475680</v>
      </c>
      <c r="C50" s="159">
        <v>850902</v>
      </c>
      <c r="D50" s="159">
        <v>1506889</v>
      </c>
      <c r="E50" s="159">
        <v>2648321</v>
      </c>
      <c r="F50" s="159">
        <v>4624106</v>
      </c>
      <c r="G50" s="159">
        <v>8024856</v>
      </c>
      <c r="H50" s="159">
        <v>13849849</v>
      </c>
      <c r="J50" s="160">
        <f t="shared" si="1"/>
        <v>2.6785940635263961E-2</v>
      </c>
      <c r="K50" s="160">
        <f t="shared" si="1"/>
        <v>3.6956815152352052E-2</v>
      </c>
      <c r="L50" s="160">
        <f t="shared" si="1"/>
        <v>4.7050139585856021E-2</v>
      </c>
      <c r="M50" s="160">
        <f t="shared" si="1"/>
        <v>5.7105046670701265E-2</v>
      </c>
      <c r="N50" s="160">
        <f t="shared" si="1"/>
        <v>6.7138552273767527E-2</v>
      </c>
      <c r="O50" s="160">
        <f t="shared" si="1"/>
        <v>7.7155981442027288E-2</v>
      </c>
      <c r="P50" s="160">
        <f t="shared" si="1"/>
        <v>8.71655413847503E-2</v>
      </c>
    </row>
    <row r="51" spans="1:16" ht="13.5" thickBot="1">
      <c r="A51" s="150">
        <v>60</v>
      </c>
      <c r="B51" s="159">
        <v>488926</v>
      </c>
      <c r="C51" s="159">
        <v>883125</v>
      </c>
      <c r="D51" s="159">
        <v>1579027</v>
      </c>
      <c r="E51" s="159">
        <v>2801565</v>
      </c>
      <c r="F51" s="159">
        <v>4937861</v>
      </c>
      <c r="G51" s="159">
        <v>8649481</v>
      </c>
      <c r="H51" s="159">
        <v>15066123</v>
      </c>
      <c r="J51" s="160">
        <f t="shared" si="1"/>
        <v>2.6803606845002381E-2</v>
      </c>
      <c r="K51" s="160">
        <f t="shared" si="1"/>
        <v>3.697201542216666E-2</v>
      </c>
      <c r="L51" s="160">
        <f t="shared" si="1"/>
        <v>4.7063834294486906E-2</v>
      </c>
      <c r="M51" s="160">
        <f t="shared" si="1"/>
        <v>5.711770120058679E-2</v>
      </c>
      <c r="N51" s="160">
        <f t="shared" si="1"/>
        <v>6.7150439737500678E-2</v>
      </c>
      <c r="O51" s="160">
        <f t="shared" si="1"/>
        <v>7.7167316359498805E-2</v>
      </c>
      <c r="P51" s="160">
        <f t="shared" si="1"/>
        <v>8.717642206146814E-2</v>
      </c>
    </row>
    <row r="52" spans="1:16" s="153" customFormat="1">
      <c r="I52" s="162" t="s">
        <v>0</v>
      </c>
    </row>
    <row r="53" spans="1:16" s="153" customFormat="1" ht="13.5" thickBot="1">
      <c r="I53" s="163">
        <f>SUM(J53:P53)</f>
        <v>5.476306199878378E-2</v>
      </c>
      <c r="J53" s="160">
        <f>IF(Hilfe!$E$3='FSX (Einzel)'!J2,VLOOKUP(Hilfe!$B$54,$A$3:$P$51,10),0)</f>
        <v>0</v>
      </c>
      <c r="K53" s="160">
        <f>IF(Hilfe!$E$3='FSX (Einzel)'!K2,VLOOKUP(Hilfe!$B$54,$A$3:$P$51,11),0)</f>
        <v>0</v>
      </c>
      <c r="L53" s="160">
        <f>IF(Hilfe!$E$3='FSX (Einzel)'!L2,VLOOKUP(Hilfe!$B$54,$A$3:$P$51,12),0)</f>
        <v>0</v>
      </c>
      <c r="M53" s="160">
        <f>IF(Hilfe!$E$3='FSX (Einzel)'!M2,VLOOKUP(Hilfe!$B$54,$A$3:$P$51,13),0)</f>
        <v>5.476306199878378E-2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2"/>
  <dimension ref="A1:P53"/>
  <sheetViews>
    <sheetView topLeftCell="A31"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134</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9">
        <v>137600</v>
      </c>
      <c r="C3" s="159">
        <v>154553</v>
      </c>
      <c r="D3" s="159">
        <v>173392</v>
      </c>
      <c r="E3" s="159">
        <v>194314</v>
      </c>
      <c r="F3" s="159">
        <v>217662</v>
      </c>
      <c r="G3" s="159">
        <v>243548</v>
      </c>
      <c r="H3" s="159">
        <v>272218</v>
      </c>
      <c r="J3" s="160">
        <f>(B3/100000)^(1/$A3)-1</f>
        <v>2.6955289514452918E-2</v>
      </c>
      <c r="K3" s="160">
        <f t="shared" ref="K3:P18" si="0">(C3/100000)^(1/$A3)-1</f>
        <v>3.69467464594182E-2</v>
      </c>
      <c r="L3" s="160">
        <f t="shared" si="0"/>
        <v>4.6933479095179864E-2</v>
      </c>
      <c r="M3" s="160">
        <f t="shared" si="0"/>
        <v>5.6919736111921582E-2</v>
      </c>
      <c r="N3" s="160">
        <f t="shared" si="0"/>
        <v>6.6961014936973262E-2</v>
      </c>
      <c r="O3" s="160">
        <f t="shared" si="0"/>
        <v>7.6999199813850838E-2</v>
      </c>
      <c r="P3" s="160">
        <f t="shared" si="0"/>
        <v>8.703385443755729E-2</v>
      </c>
    </row>
    <row r="4" spans="1:16">
      <c r="A4" s="150">
        <v>13</v>
      </c>
      <c r="B4" s="159">
        <v>141557</v>
      </c>
      <c r="C4" s="159">
        <v>160545</v>
      </c>
      <c r="D4" s="159">
        <v>181850</v>
      </c>
      <c r="E4" s="159">
        <v>205780</v>
      </c>
      <c r="F4" s="159">
        <v>232752</v>
      </c>
      <c r="G4" s="159">
        <v>262870</v>
      </c>
      <c r="H4" s="159">
        <v>296539</v>
      </c>
      <c r="J4" s="160">
        <f t="shared" ref="J4:P51" si="1">(B4/100000)^(1/$A4)-1</f>
        <v>2.709379107066523E-2</v>
      </c>
      <c r="K4" s="160">
        <f t="shared" si="0"/>
        <v>3.7086873200451231E-2</v>
      </c>
      <c r="L4" s="160">
        <f t="shared" si="0"/>
        <v>4.7075376315279582E-2</v>
      </c>
      <c r="M4" s="160">
        <f t="shared" si="0"/>
        <v>5.7080193681565028E-2</v>
      </c>
      <c r="N4" s="160">
        <f t="shared" si="0"/>
        <v>6.7142879460972305E-2</v>
      </c>
      <c r="O4" s="160">
        <f t="shared" si="0"/>
        <v>7.7178734789393744E-2</v>
      </c>
      <c r="P4" s="160">
        <f t="shared" si="0"/>
        <v>8.7211371189423348E-2</v>
      </c>
    </row>
    <row r="5" spans="1:16">
      <c r="A5" s="150">
        <v>14</v>
      </c>
      <c r="B5" s="159">
        <v>145629</v>
      </c>
      <c r="C5" s="159">
        <v>166770</v>
      </c>
      <c r="D5" s="159">
        <v>190722</v>
      </c>
      <c r="E5" s="159">
        <v>217988</v>
      </c>
      <c r="F5" s="159">
        <v>248890</v>
      </c>
      <c r="G5" s="159">
        <v>283727</v>
      </c>
      <c r="H5" s="159">
        <v>323170</v>
      </c>
      <c r="J5" s="160">
        <f t="shared" si="1"/>
        <v>2.7213129931576985E-2</v>
      </c>
      <c r="K5" s="160">
        <f t="shared" si="0"/>
        <v>3.7207303846774398E-2</v>
      </c>
      <c r="L5" s="160">
        <f t="shared" si="0"/>
        <v>4.7197575422243565E-2</v>
      </c>
      <c r="M5" s="160">
        <f t="shared" si="0"/>
        <v>5.7240414276987783E-2</v>
      </c>
      <c r="N5" s="160">
        <f t="shared" si="0"/>
        <v>6.7299353267593842E-2</v>
      </c>
      <c r="O5" s="160">
        <f t="shared" si="0"/>
        <v>7.7333209777299405E-2</v>
      </c>
      <c r="P5" s="160">
        <f t="shared" si="0"/>
        <v>8.7396501245867286E-2</v>
      </c>
    </row>
    <row r="6" spans="1:16">
      <c r="A6" s="150">
        <v>15</v>
      </c>
      <c r="B6" s="159">
        <v>149818</v>
      </c>
      <c r="C6" s="159">
        <v>173238</v>
      </c>
      <c r="D6" s="159">
        <v>200028</v>
      </c>
      <c r="E6" s="159">
        <v>230922</v>
      </c>
      <c r="F6" s="159">
        <v>266149</v>
      </c>
      <c r="G6" s="159">
        <v>306280</v>
      </c>
      <c r="H6" s="159">
        <v>352224</v>
      </c>
      <c r="J6" s="160">
        <f t="shared" si="1"/>
        <v>2.7316506754002212E-2</v>
      </c>
      <c r="K6" s="160">
        <f t="shared" si="0"/>
        <v>3.7312339363996694E-2</v>
      </c>
      <c r="L6" s="160">
        <f t="shared" si="0"/>
        <v>4.7303896927213929E-2</v>
      </c>
      <c r="M6" s="160">
        <f t="shared" si="0"/>
        <v>5.7379827318746024E-2</v>
      </c>
      <c r="N6" s="160">
        <f t="shared" si="0"/>
        <v>6.7435533809318216E-2</v>
      </c>
      <c r="O6" s="160">
        <f t="shared" si="0"/>
        <v>7.7476753929604625E-2</v>
      </c>
      <c r="P6" s="160">
        <f t="shared" si="0"/>
        <v>8.7563431457656993E-2</v>
      </c>
    </row>
    <row r="7" spans="1:16">
      <c r="A7" s="150">
        <v>16</v>
      </c>
      <c r="B7" s="159">
        <v>154129</v>
      </c>
      <c r="C7" s="159">
        <v>179957</v>
      </c>
      <c r="D7" s="159">
        <v>209895</v>
      </c>
      <c r="E7" s="159">
        <v>244625</v>
      </c>
      <c r="F7" s="159">
        <v>284607</v>
      </c>
      <c r="G7" s="159">
        <v>330752</v>
      </c>
      <c r="H7" s="159">
        <v>383894</v>
      </c>
      <c r="J7" s="160">
        <f t="shared" si="1"/>
        <v>2.7407596578955085E-2</v>
      </c>
      <c r="K7" s="160">
        <f t="shared" si="0"/>
        <v>3.740430654889404E-2</v>
      </c>
      <c r="L7" s="160">
        <f t="shared" si="0"/>
        <v>4.74302947729488E-2</v>
      </c>
      <c r="M7" s="160">
        <f t="shared" si="0"/>
        <v>5.750225569719003E-2</v>
      </c>
      <c r="N7" s="160">
        <f t="shared" si="0"/>
        <v>6.7555220358235024E-2</v>
      </c>
      <c r="O7" s="160">
        <f t="shared" si="0"/>
        <v>7.7628093804165799E-2</v>
      </c>
      <c r="P7" s="160">
        <f t="shared" si="0"/>
        <v>8.7710216606315283E-2</v>
      </c>
    </row>
    <row r="8" spans="1:16">
      <c r="A8" s="150">
        <v>17</v>
      </c>
      <c r="B8" s="159">
        <v>158564</v>
      </c>
      <c r="C8" s="159">
        <v>186939</v>
      </c>
      <c r="D8" s="159">
        <v>220249</v>
      </c>
      <c r="E8" s="159">
        <v>259142</v>
      </c>
      <c r="F8" s="159">
        <v>304372</v>
      </c>
      <c r="G8" s="159">
        <v>357182</v>
      </c>
      <c r="H8" s="159">
        <v>418414</v>
      </c>
      <c r="J8" s="160">
        <f t="shared" si="1"/>
        <v>2.7487958116195532E-2</v>
      </c>
      <c r="K8" s="160">
        <f t="shared" si="0"/>
        <v>3.7486245975390409E-2</v>
      </c>
      <c r="L8" s="160">
        <f t="shared" si="0"/>
        <v>4.75419132040662E-2</v>
      </c>
      <c r="M8" s="160">
        <f t="shared" si="0"/>
        <v>5.7610498664336207E-2</v>
      </c>
      <c r="N8" s="160">
        <f t="shared" si="0"/>
        <v>6.7666387706496467E-2</v>
      </c>
      <c r="O8" s="160">
        <f t="shared" si="0"/>
        <v>7.7762120371138943E-2</v>
      </c>
      <c r="P8" s="160">
        <f t="shared" si="0"/>
        <v>8.7840118220933183E-2</v>
      </c>
    </row>
    <row r="9" spans="1:16">
      <c r="A9" s="150">
        <v>18</v>
      </c>
      <c r="B9" s="159">
        <v>163128</v>
      </c>
      <c r="C9" s="159">
        <v>194192</v>
      </c>
      <c r="D9" s="159">
        <v>231116</v>
      </c>
      <c r="E9" s="159">
        <v>274523</v>
      </c>
      <c r="F9" s="159">
        <v>325648</v>
      </c>
      <c r="G9" s="159">
        <v>385725</v>
      </c>
      <c r="H9" s="159">
        <v>456040</v>
      </c>
      <c r="J9" s="160">
        <f t="shared" si="1"/>
        <v>2.7559880433867701E-2</v>
      </c>
      <c r="K9" s="160">
        <f t="shared" si="0"/>
        <v>3.755911948145485E-2</v>
      </c>
      <c r="L9" s="160">
        <f t="shared" si="0"/>
        <v>4.7641704463087908E-2</v>
      </c>
      <c r="M9" s="160">
        <f t="shared" si="0"/>
        <v>5.7707260067403565E-2</v>
      </c>
      <c r="N9" s="160">
        <f t="shared" si="0"/>
        <v>6.7790427210651316E-2</v>
      </c>
      <c r="O9" s="160">
        <f t="shared" si="0"/>
        <v>7.78814258975975E-2</v>
      </c>
      <c r="P9" s="160">
        <f t="shared" si="0"/>
        <v>8.7955856333375326E-2</v>
      </c>
    </row>
    <row r="10" spans="1:16">
      <c r="A10" s="150">
        <v>19</v>
      </c>
      <c r="B10" s="159">
        <v>167824</v>
      </c>
      <c r="C10" s="159">
        <v>201744</v>
      </c>
      <c r="D10" s="159">
        <v>242520</v>
      </c>
      <c r="E10" s="159">
        <v>290819</v>
      </c>
      <c r="F10" s="159">
        <v>348412</v>
      </c>
      <c r="G10" s="159">
        <v>416553</v>
      </c>
      <c r="H10" s="159">
        <v>497053</v>
      </c>
      <c r="J10" s="160">
        <f t="shared" si="1"/>
        <v>2.7624440210525902E-2</v>
      </c>
      <c r="K10" s="160">
        <f t="shared" si="0"/>
        <v>3.7629088953661682E-2</v>
      </c>
      <c r="L10" s="160">
        <f t="shared" si="0"/>
        <v>4.7731187353194482E-2</v>
      </c>
      <c r="M10" s="160">
        <f t="shared" si="0"/>
        <v>5.7794242309677113E-2</v>
      </c>
      <c r="N10" s="160">
        <f t="shared" si="0"/>
        <v>6.790154794206793E-2</v>
      </c>
      <c r="O10" s="160">
        <f t="shared" si="0"/>
        <v>7.7988740131739398E-2</v>
      </c>
      <c r="P10" s="160">
        <f t="shared" si="0"/>
        <v>8.8059821832672247E-2</v>
      </c>
    </row>
    <row r="11" spans="1:16">
      <c r="A11" s="150">
        <v>20</v>
      </c>
      <c r="B11" s="159">
        <v>172656</v>
      </c>
      <c r="C11" s="159">
        <v>209679</v>
      </c>
      <c r="D11" s="159">
        <v>254488</v>
      </c>
      <c r="E11" s="159">
        <v>308147</v>
      </c>
      <c r="F11" s="159">
        <v>372771</v>
      </c>
      <c r="G11" s="159">
        <v>449846</v>
      </c>
      <c r="H11" s="159">
        <v>541757</v>
      </c>
      <c r="J11" s="160">
        <f t="shared" si="1"/>
        <v>2.7682790108042088E-2</v>
      </c>
      <c r="K11" s="160">
        <f t="shared" si="0"/>
        <v>3.7714169436851908E-2</v>
      </c>
      <c r="L11" s="160">
        <f t="shared" si="0"/>
        <v>4.7811994118636347E-2</v>
      </c>
      <c r="M11" s="160">
        <f t="shared" si="0"/>
        <v>5.7883631009451708E-2</v>
      </c>
      <c r="N11" s="160">
        <f t="shared" si="0"/>
        <v>6.8002098266306987E-2</v>
      </c>
      <c r="O11" s="160">
        <f t="shared" si="0"/>
        <v>7.8085470798848533E-2</v>
      </c>
      <c r="P11" s="160">
        <f t="shared" si="0"/>
        <v>8.8153658577289518E-2</v>
      </c>
    </row>
    <row r="12" spans="1:16">
      <c r="A12" s="150">
        <v>21</v>
      </c>
      <c r="B12" s="159">
        <v>177627</v>
      </c>
      <c r="C12" s="159">
        <v>217927</v>
      </c>
      <c r="D12" s="159">
        <v>267049</v>
      </c>
      <c r="E12" s="159">
        <v>326606</v>
      </c>
      <c r="F12" s="159">
        <v>398834</v>
      </c>
      <c r="G12" s="159">
        <v>485803</v>
      </c>
      <c r="H12" s="159">
        <v>590484</v>
      </c>
      <c r="J12" s="160">
        <f t="shared" si="1"/>
        <v>2.7735551763467425E-2</v>
      </c>
      <c r="K12" s="160">
        <f t="shared" si="0"/>
        <v>3.7791357205723575E-2</v>
      </c>
      <c r="L12" s="160">
        <f t="shared" si="0"/>
        <v>4.788555827602714E-2</v>
      </c>
      <c r="M12" s="160">
        <f t="shared" si="0"/>
        <v>5.7979714974932373E-2</v>
      </c>
      <c r="N12" s="160">
        <f t="shared" si="0"/>
        <v>6.8093202472967462E-2</v>
      </c>
      <c r="O12" s="160">
        <f t="shared" si="0"/>
        <v>7.8173319562462762E-2</v>
      </c>
      <c r="P12" s="160">
        <f t="shared" si="0"/>
        <v>8.8238776735849012E-2</v>
      </c>
    </row>
    <row r="13" spans="1:16">
      <c r="A13" s="150">
        <v>22</v>
      </c>
      <c r="B13" s="159">
        <v>182743</v>
      </c>
      <c r="C13" s="159">
        <v>226500</v>
      </c>
      <c r="D13" s="159">
        <v>280230</v>
      </c>
      <c r="E13" s="159">
        <v>346171</v>
      </c>
      <c r="F13" s="159">
        <v>426721</v>
      </c>
      <c r="G13" s="159">
        <v>524636</v>
      </c>
      <c r="H13" s="159">
        <v>643596</v>
      </c>
      <c r="J13" s="160">
        <f t="shared" si="1"/>
        <v>2.778399940622478E-2</v>
      </c>
      <c r="K13" s="160">
        <f t="shared" si="0"/>
        <v>3.7861648283206817E-2</v>
      </c>
      <c r="L13" s="160">
        <f t="shared" si="0"/>
        <v>4.7952441828761794E-2</v>
      </c>
      <c r="M13" s="160">
        <f t="shared" si="0"/>
        <v>5.8067105828189858E-2</v>
      </c>
      <c r="N13" s="160">
        <f t="shared" si="0"/>
        <v>6.8176230949094085E-2</v>
      </c>
      <c r="O13" s="160">
        <f t="shared" si="0"/>
        <v>7.8253365066446312E-2</v>
      </c>
      <c r="P13" s="160">
        <f t="shared" si="0"/>
        <v>8.8316344817286119E-2</v>
      </c>
    </row>
    <row r="14" spans="1:16">
      <c r="A14" s="150">
        <v>23</v>
      </c>
      <c r="B14" s="159">
        <v>188007</v>
      </c>
      <c r="C14" s="159">
        <v>235412</v>
      </c>
      <c r="D14" s="159">
        <v>294064</v>
      </c>
      <c r="E14" s="159">
        <v>366911</v>
      </c>
      <c r="F14" s="159">
        <v>456561</v>
      </c>
      <c r="G14" s="159">
        <v>566576</v>
      </c>
      <c r="H14" s="159">
        <v>701489</v>
      </c>
      <c r="J14" s="160">
        <f t="shared" si="1"/>
        <v>2.7828390549297088E-2</v>
      </c>
      <c r="K14" s="160">
        <f t="shared" si="0"/>
        <v>3.7926166323561494E-2</v>
      </c>
      <c r="L14" s="160">
        <f t="shared" si="0"/>
        <v>4.8013886960546648E-2</v>
      </c>
      <c r="M14" s="160">
        <f t="shared" si="0"/>
        <v>5.8147277263267405E-2</v>
      </c>
      <c r="N14" s="160">
        <f t="shared" si="0"/>
        <v>6.8252360977448578E-2</v>
      </c>
      <c r="O14" s="160">
        <f t="shared" si="0"/>
        <v>7.832669171300366E-2</v>
      </c>
      <c r="P14" s="160">
        <f t="shared" si="0"/>
        <v>8.8387426233545563E-2</v>
      </c>
    </row>
    <row r="15" spans="1:16">
      <c r="A15" s="150">
        <v>24</v>
      </c>
      <c r="B15" s="159">
        <v>193424</v>
      </c>
      <c r="C15" s="159">
        <v>244676</v>
      </c>
      <c r="D15" s="159">
        <v>308673</v>
      </c>
      <c r="E15" s="159">
        <v>388895</v>
      </c>
      <c r="F15" s="159">
        <v>488490</v>
      </c>
      <c r="G15" s="159">
        <v>611871</v>
      </c>
      <c r="H15" s="159">
        <v>764592</v>
      </c>
      <c r="J15" s="160">
        <f t="shared" si="1"/>
        <v>2.7869387006549839E-2</v>
      </c>
      <c r="K15" s="160">
        <f t="shared" si="0"/>
        <v>3.798554882762839E-2</v>
      </c>
      <c r="L15" s="160">
        <f t="shared" si="0"/>
        <v>4.808324142907483E-2</v>
      </c>
      <c r="M15" s="160">
        <f t="shared" si="0"/>
        <v>5.8220933281616594E-2</v>
      </c>
      <c r="N15" s="160">
        <f t="shared" si="0"/>
        <v>6.8322363989926416E-2</v>
      </c>
      <c r="O15" s="160">
        <f t="shared" si="0"/>
        <v>7.8394078781150123E-2</v>
      </c>
      <c r="P15" s="160">
        <f t="shared" si="0"/>
        <v>8.845272981229968E-2</v>
      </c>
    </row>
    <row r="16" spans="1:16">
      <c r="A16" s="150">
        <v>25</v>
      </c>
      <c r="B16" s="159">
        <v>198997</v>
      </c>
      <c r="C16" s="159">
        <v>254306</v>
      </c>
      <c r="D16" s="159">
        <v>324076</v>
      </c>
      <c r="E16" s="159">
        <v>412198</v>
      </c>
      <c r="F16" s="159">
        <v>522653</v>
      </c>
      <c r="G16" s="159">
        <v>660790</v>
      </c>
      <c r="H16" s="159">
        <v>833374</v>
      </c>
      <c r="J16" s="160">
        <f t="shared" si="1"/>
        <v>2.7907088929697732E-2</v>
      </c>
      <c r="K16" s="160">
        <f t="shared" si="0"/>
        <v>3.8040418918752206E-2</v>
      </c>
      <c r="L16" s="160">
        <f t="shared" si="0"/>
        <v>4.8155879488340991E-2</v>
      </c>
      <c r="M16" s="160">
        <f t="shared" si="0"/>
        <v>5.8288885897774589E-2</v>
      </c>
      <c r="N16" s="160">
        <f t="shared" si="0"/>
        <v>6.838685968439151E-2</v>
      </c>
      <c r="O16" s="160">
        <f t="shared" si="0"/>
        <v>7.8456266924638252E-2</v>
      </c>
      <c r="P16" s="160">
        <f t="shared" si="0"/>
        <v>8.8512944201025734E-2</v>
      </c>
    </row>
    <row r="17" spans="1:16">
      <c r="A17" s="150">
        <v>26</v>
      </c>
      <c r="B17" s="159">
        <v>204809</v>
      </c>
      <c r="C17" s="159">
        <v>264316</v>
      </c>
      <c r="D17" s="159">
        <v>340250</v>
      </c>
      <c r="E17" s="159">
        <v>436900</v>
      </c>
      <c r="F17" s="159">
        <v>559208</v>
      </c>
      <c r="G17" s="159">
        <v>713622</v>
      </c>
      <c r="H17" s="159">
        <v>908346</v>
      </c>
      <c r="J17" s="160">
        <f t="shared" si="1"/>
        <v>2.7957034794410696E-2</v>
      </c>
      <c r="K17" s="160">
        <f t="shared" si="0"/>
        <v>3.8091218965421669E-2</v>
      </c>
      <c r="L17" s="160">
        <f t="shared" si="0"/>
        <v>4.8223216415969272E-2</v>
      </c>
      <c r="M17" s="160">
        <f t="shared" si="0"/>
        <v>5.8351863055207343E-2</v>
      </c>
      <c r="N17" s="160">
        <f t="shared" si="0"/>
        <v>6.8446601845879806E-2</v>
      </c>
      <c r="O17" s="160">
        <f t="shared" si="0"/>
        <v>7.8513786901021287E-2</v>
      </c>
      <c r="P17" s="160">
        <f t="shared" si="0"/>
        <v>8.8568641856160646E-2</v>
      </c>
    </row>
    <row r="18" spans="1:16">
      <c r="A18" s="150">
        <v>27</v>
      </c>
      <c r="B18" s="159">
        <v>210818</v>
      </c>
      <c r="C18" s="159">
        <v>274721</v>
      </c>
      <c r="D18" s="159">
        <v>357232</v>
      </c>
      <c r="E18" s="159">
        <v>463083</v>
      </c>
      <c r="F18" s="159">
        <v>598322</v>
      </c>
      <c r="G18" s="159">
        <v>770681</v>
      </c>
      <c r="H18" s="159">
        <v>990067</v>
      </c>
      <c r="J18" s="160">
        <f t="shared" si="1"/>
        <v>2.8008205229396399E-2</v>
      </c>
      <c r="K18" s="160">
        <f t="shared" si="0"/>
        <v>3.8138396275128272E-2</v>
      </c>
      <c r="L18" s="160">
        <f t="shared" si="0"/>
        <v>4.8285654842791459E-2</v>
      </c>
      <c r="M18" s="160">
        <f t="shared" si="0"/>
        <v>5.8410235349351192E-2</v>
      </c>
      <c r="N18" s="160">
        <f t="shared" si="0"/>
        <v>6.8502073628162963E-2</v>
      </c>
      <c r="O18" s="160">
        <f t="shared" si="0"/>
        <v>7.856720098027492E-2</v>
      </c>
      <c r="P18" s="160">
        <f t="shared" si="0"/>
        <v>8.8620394190080276E-2</v>
      </c>
    </row>
    <row r="19" spans="1:16">
      <c r="A19" s="150">
        <v>28</v>
      </c>
      <c r="B19" s="159">
        <v>217004</v>
      </c>
      <c r="C19" s="159">
        <v>285537</v>
      </c>
      <c r="D19" s="159">
        <v>375063</v>
      </c>
      <c r="E19" s="159">
        <v>490838</v>
      </c>
      <c r="F19" s="159">
        <v>640174</v>
      </c>
      <c r="G19" s="159">
        <v>832305</v>
      </c>
      <c r="H19" s="159">
        <v>1079142</v>
      </c>
      <c r="J19" s="160">
        <f t="shared" si="1"/>
        <v>2.8055841141625404E-2</v>
      </c>
      <c r="K19" s="160">
        <f t="shared" si="1"/>
        <v>3.8182387397898143E-2</v>
      </c>
      <c r="L19" s="160">
        <f t="shared" si="1"/>
        <v>4.8343778690848938E-2</v>
      </c>
      <c r="M19" s="160">
        <f t="shared" si="1"/>
        <v>5.8464662713535676E-2</v>
      </c>
      <c r="N19" s="160">
        <f t="shared" si="1"/>
        <v>6.8553714335887861E-2</v>
      </c>
      <c r="O19" s="160">
        <f t="shared" si="1"/>
        <v>7.861692892963168E-2</v>
      </c>
      <c r="P19" s="160">
        <f t="shared" si="1"/>
        <v>8.8668517763280219E-2</v>
      </c>
    </row>
    <row r="20" spans="1:16">
      <c r="A20" s="150">
        <v>29</v>
      </c>
      <c r="B20" s="159">
        <v>223372</v>
      </c>
      <c r="C20" s="159">
        <v>296780</v>
      </c>
      <c r="D20" s="159">
        <v>393786</v>
      </c>
      <c r="E20" s="159">
        <v>520258</v>
      </c>
      <c r="F20" s="159">
        <v>684956</v>
      </c>
      <c r="G20" s="159">
        <v>898859</v>
      </c>
      <c r="H20" s="159">
        <v>1176234</v>
      </c>
      <c r="J20" s="160">
        <f t="shared" si="1"/>
        <v>2.8100270803050886E-2</v>
      </c>
      <c r="K20" s="160">
        <f t="shared" si="1"/>
        <v>3.8223486843889987E-2</v>
      </c>
      <c r="L20" s="160">
        <f t="shared" si="1"/>
        <v>4.8398078429078506E-2</v>
      </c>
      <c r="M20" s="160">
        <f t="shared" si="1"/>
        <v>5.8515443999937578E-2</v>
      </c>
      <c r="N20" s="160">
        <f t="shared" si="1"/>
        <v>6.860193014869953E-2</v>
      </c>
      <c r="O20" s="160">
        <f t="shared" si="1"/>
        <v>7.8663333589301887E-2</v>
      </c>
      <c r="P20" s="160">
        <f t="shared" si="1"/>
        <v>8.8713421464590159E-2</v>
      </c>
    </row>
    <row r="21" spans="1:16">
      <c r="A21" s="150">
        <v>30</v>
      </c>
      <c r="B21" s="159">
        <v>229929</v>
      </c>
      <c r="C21" s="159">
        <v>308569</v>
      </c>
      <c r="D21" s="159">
        <v>413445</v>
      </c>
      <c r="E21" s="159">
        <v>551443</v>
      </c>
      <c r="F21" s="159">
        <v>732872</v>
      </c>
      <c r="G21" s="159">
        <v>970737</v>
      </c>
      <c r="H21" s="159">
        <v>1282064</v>
      </c>
      <c r="J21" s="160">
        <f t="shared" si="1"/>
        <v>2.8142057779780627E-2</v>
      </c>
      <c r="K21" s="160">
        <f t="shared" si="1"/>
        <v>3.8273436660021698E-2</v>
      </c>
      <c r="L21" s="160">
        <f t="shared" si="1"/>
        <v>4.8448875266349001E-2</v>
      </c>
      <c r="M21" s="160">
        <f t="shared" si="1"/>
        <v>5.856294540085738E-2</v>
      </c>
      <c r="N21" s="160">
        <f t="shared" si="1"/>
        <v>6.8647000183612583E-2</v>
      </c>
      <c r="O21" s="160">
        <f t="shared" si="1"/>
        <v>7.8706724595380972E-2</v>
      </c>
      <c r="P21" s="160">
        <f t="shared" si="1"/>
        <v>8.8755403723034698E-2</v>
      </c>
    </row>
    <row r="22" spans="1:16">
      <c r="A22" s="150">
        <v>31</v>
      </c>
      <c r="B22" s="159">
        <v>236678</v>
      </c>
      <c r="C22" s="159">
        <v>320882</v>
      </c>
      <c r="D22" s="159">
        <v>434087</v>
      </c>
      <c r="E22" s="159">
        <v>584499</v>
      </c>
      <c r="F22" s="159">
        <v>784143</v>
      </c>
      <c r="G22" s="159">
        <v>1048365</v>
      </c>
      <c r="H22" s="159">
        <v>1397419</v>
      </c>
      <c r="J22" s="160">
        <f t="shared" si="1"/>
        <v>2.8181083341766833E-2</v>
      </c>
      <c r="K22" s="160">
        <f t="shared" si="1"/>
        <v>3.8325981209197169E-2</v>
      </c>
      <c r="L22" s="160">
        <f t="shared" si="1"/>
        <v>4.8496518874071359E-2</v>
      </c>
      <c r="M22" s="160">
        <f t="shared" si="1"/>
        <v>5.860748502387092E-2</v>
      </c>
      <c r="N22" s="160">
        <f t="shared" si="1"/>
        <v>6.868929797729284E-2</v>
      </c>
      <c r="O22" s="160">
        <f t="shared" si="1"/>
        <v>7.8747391335762584E-2</v>
      </c>
      <c r="P22" s="160">
        <f t="shared" si="1"/>
        <v>8.8794756692818888E-2</v>
      </c>
    </row>
    <row r="23" spans="1:16">
      <c r="A23" s="150">
        <v>32</v>
      </c>
      <c r="B23" s="159">
        <v>243627</v>
      </c>
      <c r="C23" s="159">
        <v>333687</v>
      </c>
      <c r="D23" s="159">
        <v>455761</v>
      </c>
      <c r="E23" s="159">
        <v>619539</v>
      </c>
      <c r="F23" s="159">
        <v>839002</v>
      </c>
      <c r="G23" s="159">
        <v>1132204</v>
      </c>
      <c r="H23" s="159">
        <v>1523156</v>
      </c>
      <c r="J23" s="160">
        <f t="shared" si="1"/>
        <v>2.8217921704277948E-2</v>
      </c>
      <c r="K23" s="160">
        <f t="shared" si="1"/>
        <v>3.8375309052768536E-2</v>
      </c>
      <c r="L23" s="160">
        <f t="shared" si="1"/>
        <v>4.8541288115237169E-2</v>
      </c>
      <c r="M23" s="160">
        <f t="shared" si="1"/>
        <v>5.8649374684109912E-2</v>
      </c>
      <c r="N23" s="160">
        <f t="shared" si="1"/>
        <v>6.8728998723241563E-2</v>
      </c>
      <c r="O23" s="160">
        <f t="shared" si="1"/>
        <v>7.8785614145637117E-2</v>
      </c>
      <c r="P23" s="160">
        <f t="shared" si="1"/>
        <v>8.883171433802195E-2</v>
      </c>
    </row>
    <row r="24" spans="1:16">
      <c r="A24" s="150">
        <v>33</v>
      </c>
      <c r="B24" s="159">
        <v>250780</v>
      </c>
      <c r="C24" s="159">
        <v>347005</v>
      </c>
      <c r="D24" s="159">
        <v>478519</v>
      </c>
      <c r="E24" s="159">
        <v>656680</v>
      </c>
      <c r="F24" s="159">
        <v>897702</v>
      </c>
      <c r="G24" s="159">
        <v>1222749</v>
      </c>
      <c r="H24" s="159">
        <v>1660209</v>
      </c>
      <c r="J24" s="160">
        <f t="shared" si="1"/>
        <v>2.825252533952205E-2</v>
      </c>
      <c r="K24" s="160">
        <f t="shared" si="1"/>
        <v>3.8421831587063915E-2</v>
      </c>
      <c r="L24" s="160">
        <f t="shared" si="1"/>
        <v>4.8583466357742244E-2</v>
      </c>
      <c r="M24" s="160">
        <f t="shared" si="1"/>
        <v>5.8688746377837386E-2</v>
      </c>
      <c r="N24" s="160">
        <f t="shared" si="1"/>
        <v>6.8766404363697742E-2</v>
      </c>
      <c r="O24" s="160">
        <f t="shared" si="1"/>
        <v>7.8821556282046012E-2</v>
      </c>
      <c r="P24" s="160">
        <f t="shared" si="1"/>
        <v>8.8866481628034011E-2</v>
      </c>
    </row>
    <row r="25" spans="1:16">
      <c r="A25" s="150">
        <v>34</v>
      </c>
      <c r="B25" s="159">
        <v>258145</v>
      </c>
      <c r="C25" s="159">
        <v>360855</v>
      </c>
      <c r="D25" s="159">
        <v>502415</v>
      </c>
      <c r="E25" s="159">
        <v>696051</v>
      </c>
      <c r="F25" s="159">
        <v>960510</v>
      </c>
      <c r="G25" s="159">
        <v>1320538</v>
      </c>
      <c r="H25" s="159">
        <v>1809597</v>
      </c>
      <c r="J25" s="160">
        <f t="shared" si="1"/>
        <v>2.8285327048931386E-2</v>
      </c>
      <c r="K25" s="160">
        <f t="shared" si="1"/>
        <v>3.8465658052445839E-2</v>
      </c>
      <c r="L25" s="160">
        <f t="shared" si="1"/>
        <v>4.8623263328582134E-2</v>
      </c>
      <c r="M25" s="160">
        <f t="shared" si="1"/>
        <v>5.8725956373888222E-2</v>
      </c>
      <c r="N25" s="160">
        <f t="shared" si="1"/>
        <v>6.8801647154165479E-2</v>
      </c>
      <c r="O25" s="160">
        <f t="shared" si="1"/>
        <v>7.8855455066594526E-2</v>
      </c>
      <c r="P25" s="160">
        <f t="shared" si="1"/>
        <v>8.8899258298310579E-2</v>
      </c>
    </row>
    <row r="26" spans="1:16">
      <c r="A26" s="150">
        <v>35</v>
      </c>
      <c r="B26" s="159">
        <v>265726</v>
      </c>
      <c r="C26" s="159">
        <v>375259</v>
      </c>
      <c r="D26" s="159">
        <v>527505</v>
      </c>
      <c r="E26" s="159">
        <v>737783</v>
      </c>
      <c r="F26" s="159">
        <v>1027716</v>
      </c>
      <c r="G26" s="159">
        <v>1426151</v>
      </c>
      <c r="H26" s="159">
        <v>1972430</v>
      </c>
      <c r="J26" s="160">
        <f t="shared" si="1"/>
        <v>2.8316222378937272E-2</v>
      </c>
      <c r="K26" s="160">
        <f t="shared" si="1"/>
        <v>3.8507077151112901E-2</v>
      </c>
      <c r="L26" s="160">
        <f t="shared" si="1"/>
        <v>4.8660827081052238E-2</v>
      </c>
      <c r="M26" s="160">
        <f t="shared" si="1"/>
        <v>5.8761062875742676E-2</v>
      </c>
      <c r="N26" s="160">
        <f t="shared" si="1"/>
        <v>6.8834984664213783E-2</v>
      </c>
      <c r="O26" s="160">
        <f t="shared" si="1"/>
        <v>7.8887490222485424E-2</v>
      </c>
      <c r="P26" s="160">
        <f t="shared" si="1"/>
        <v>8.8930207911146031E-2</v>
      </c>
    </row>
    <row r="27" spans="1:16">
      <c r="A27" s="150">
        <v>36</v>
      </c>
      <c r="B27" s="159">
        <v>273531</v>
      </c>
      <c r="C27" s="159">
        <v>390239</v>
      </c>
      <c r="D27" s="159">
        <v>553850</v>
      </c>
      <c r="E27" s="159">
        <v>782020</v>
      </c>
      <c r="F27" s="159">
        <v>1099625</v>
      </c>
      <c r="G27" s="159">
        <v>1540212</v>
      </c>
      <c r="H27" s="159">
        <v>2149917</v>
      </c>
      <c r="J27" s="160">
        <f t="shared" si="1"/>
        <v>2.8345544925849175E-2</v>
      </c>
      <c r="K27" s="160">
        <f t="shared" si="1"/>
        <v>3.8546273992520863E-2</v>
      </c>
      <c r="L27" s="160">
        <f t="shared" si="1"/>
        <v>4.8696412260081035E-2</v>
      </c>
      <c r="M27" s="160">
        <f t="shared" si="1"/>
        <v>5.8794330739065037E-2</v>
      </c>
      <c r="N27" s="160">
        <f t="shared" si="1"/>
        <v>6.8866488813892124E-2</v>
      </c>
      <c r="O27" s="160">
        <f t="shared" si="1"/>
        <v>7.8917773033227778E-2</v>
      </c>
      <c r="P27" s="160">
        <f t="shared" si="1"/>
        <v>8.8959464166556979E-2</v>
      </c>
    </row>
    <row r="28" spans="1:16">
      <c r="A28" s="150">
        <v>37</v>
      </c>
      <c r="B28" s="159">
        <v>281566</v>
      </c>
      <c r="C28" s="159">
        <v>405818</v>
      </c>
      <c r="D28" s="159">
        <v>581512</v>
      </c>
      <c r="E28" s="159">
        <v>828910</v>
      </c>
      <c r="F28" s="159">
        <v>1176568</v>
      </c>
      <c r="G28" s="159">
        <v>1663398</v>
      </c>
      <c r="H28" s="159">
        <v>2343379</v>
      </c>
      <c r="J28" s="160">
        <f t="shared" si="1"/>
        <v>2.8373357147583045E-2</v>
      </c>
      <c r="K28" s="160">
        <f t="shared" si="1"/>
        <v>3.8583423442091869E-2</v>
      </c>
      <c r="L28" s="160">
        <f t="shared" si="1"/>
        <v>4.8730136479605113E-2</v>
      </c>
      <c r="M28" s="160">
        <f t="shared" si="1"/>
        <v>5.8825821241779819E-2</v>
      </c>
      <c r="N28" s="160">
        <f t="shared" si="1"/>
        <v>6.8896353440779157E-2</v>
      </c>
      <c r="O28" s="160">
        <f t="shared" si="1"/>
        <v>7.8946465398064714E-2</v>
      </c>
      <c r="P28" s="160">
        <f t="shared" si="1"/>
        <v>8.8987190247428627E-2</v>
      </c>
    </row>
    <row r="29" spans="1:16">
      <c r="A29" s="150">
        <v>38</v>
      </c>
      <c r="B29" s="159">
        <v>289838</v>
      </c>
      <c r="C29" s="159">
        <v>422021</v>
      </c>
      <c r="D29" s="159">
        <v>610557</v>
      </c>
      <c r="E29" s="159">
        <v>878615</v>
      </c>
      <c r="F29" s="159">
        <v>1258897</v>
      </c>
      <c r="G29" s="159">
        <v>1796439</v>
      </c>
      <c r="H29" s="159">
        <v>2554252</v>
      </c>
      <c r="J29" s="160">
        <f t="shared" si="1"/>
        <v>2.8399796935712374E-2</v>
      </c>
      <c r="K29" s="160">
        <f t="shared" si="1"/>
        <v>3.8618752299347969E-2</v>
      </c>
      <c r="L29" s="160">
        <f t="shared" si="1"/>
        <v>4.8762151079015714E-2</v>
      </c>
      <c r="M29" s="160">
        <f t="shared" si="1"/>
        <v>5.8855765286204953E-2</v>
      </c>
      <c r="N29" s="160">
        <f t="shared" si="1"/>
        <v>6.8924694869121117E-2</v>
      </c>
      <c r="O29" s="160">
        <f t="shared" si="1"/>
        <v>7.8973689376821365E-2</v>
      </c>
      <c r="P29" s="160">
        <f t="shared" si="1"/>
        <v>8.9013482028418744E-2</v>
      </c>
    </row>
    <row r="30" spans="1:16">
      <c r="A30" s="150">
        <v>39</v>
      </c>
      <c r="B30" s="159">
        <v>298354</v>
      </c>
      <c r="C30" s="159">
        <v>438871</v>
      </c>
      <c r="D30" s="159">
        <v>641055</v>
      </c>
      <c r="E30" s="159">
        <v>931301</v>
      </c>
      <c r="F30" s="159">
        <v>1346989</v>
      </c>
      <c r="G30" s="159">
        <v>1940123</v>
      </c>
      <c r="H30" s="159">
        <v>2784103</v>
      </c>
      <c r="J30" s="160">
        <f t="shared" si="1"/>
        <v>2.8424968140776219E-2</v>
      </c>
      <c r="K30" s="160">
        <f t="shared" si="1"/>
        <v>3.8652274574158207E-2</v>
      </c>
      <c r="L30" s="160">
        <f t="shared" si="1"/>
        <v>4.8792620385638141E-2</v>
      </c>
      <c r="M30" s="160">
        <f t="shared" si="1"/>
        <v>5.8884188367763768E-2</v>
      </c>
      <c r="N30" s="160">
        <f t="shared" si="1"/>
        <v>6.8951626772833174E-2</v>
      </c>
      <c r="O30" s="160">
        <f t="shared" si="1"/>
        <v>7.89995490709825E-2</v>
      </c>
      <c r="P30" s="160">
        <f t="shared" si="1"/>
        <v>8.9038448461095543E-2</v>
      </c>
    </row>
    <row r="31" spans="1:16">
      <c r="A31" s="150">
        <v>40</v>
      </c>
      <c r="B31" s="159">
        <v>307235</v>
      </c>
      <c r="C31" s="159">
        <v>456395</v>
      </c>
      <c r="D31" s="159">
        <v>673077</v>
      </c>
      <c r="E31" s="159">
        <v>987148</v>
      </c>
      <c r="F31" s="159">
        <v>1441247</v>
      </c>
      <c r="G31" s="159">
        <v>2095301</v>
      </c>
      <c r="H31" s="159">
        <v>3034641</v>
      </c>
      <c r="J31" s="160">
        <f t="shared" si="1"/>
        <v>2.8458488948904126E-2</v>
      </c>
      <c r="K31" s="160">
        <f t="shared" si="1"/>
        <v>3.8684191796311884E-2</v>
      </c>
      <c r="L31" s="160">
        <f t="shared" si="1"/>
        <v>4.8821590071580934E-2</v>
      </c>
      <c r="M31" s="160">
        <f t="shared" si="1"/>
        <v>5.8911236401577805E-2</v>
      </c>
      <c r="N31" s="160">
        <f t="shared" si="1"/>
        <v>6.8977244502008261E-2</v>
      </c>
      <c r="O31" s="160">
        <f t="shared" si="1"/>
        <v>7.9024139129993287E-2</v>
      </c>
      <c r="P31" s="160">
        <f t="shared" si="1"/>
        <v>8.9062196358013601E-2</v>
      </c>
    </row>
    <row r="32" spans="1:16">
      <c r="A32" s="150">
        <v>41</v>
      </c>
      <c r="B32" s="159">
        <v>316422</v>
      </c>
      <c r="C32" s="159">
        <v>474621</v>
      </c>
      <c r="D32" s="159">
        <v>706700</v>
      </c>
      <c r="E32" s="159">
        <v>1046346</v>
      </c>
      <c r="F32" s="159">
        <v>1542103</v>
      </c>
      <c r="G32" s="159">
        <v>2262894</v>
      </c>
      <c r="H32" s="159">
        <v>3307728</v>
      </c>
      <c r="J32" s="160">
        <f t="shared" si="1"/>
        <v>2.8493677132059636E-2</v>
      </c>
      <c r="K32" s="160">
        <f t="shared" si="1"/>
        <v>3.8714674236707047E-2</v>
      </c>
      <c r="L32" s="160">
        <f t="shared" si="1"/>
        <v>4.8849199327135606E-2</v>
      </c>
      <c r="M32" s="160">
        <f t="shared" si="1"/>
        <v>5.8937016078456139E-2</v>
      </c>
      <c r="N32" s="160">
        <f t="shared" si="1"/>
        <v>6.900164909056361E-2</v>
      </c>
      <c r="O32" s="160">
        <f t="shared" si="1"/>
        <v>7.9047568651812394E-2</v>
      </c>
      <c r="P32" s="160">
        <f t="shared" si="1"/>
        <v>8.9084813556976172E-2</v>
      </c>
    </row>
    <row r="33" spans="1:16">
      <c r="A33" s="150">
        <v>42</v>
      </c>
      <c r="B33" s="159">
        <v>325884</v>
      </c>
      <c r="C33" s="159">
        <v>493575</v>
      </c>
      <c r="D33" s="159">
        <v>742004</v>
      </c>
      <c r="E33" s="159">
        <v>1109095</v>
      </c>
      <c r="F33" s="159">
        <v>1650019</v>
      </c>
      <c r="G33" s="159">
        <v>2443894</v>
      </c>
      <c r="H33" s="159">
        <v>3605392</v>
      </c>
      <c r="J33" s="160">
        <f t="shared" si="1"/>
        <v>2.8527212490844445E-2</v>
      </c>
      <c r="K33" s="160">
        <f t="shared" si="1"/>
        <v>3.8743713482909836E-2</v>
      </c>
      <c r="L33" s="160">
        <f t="shared" si="1"/>
        <v>4.8875541351006024E-2</v>
      </c>
      <c r="M33" s="160">
        <f t="shared" si="1"/>
        <v>5.8961590828160881E-2</v>
      </c>
      <c r="N33" s="160">
        <f t="shared" si="1"/>
        <v>6.9024927084733623E-2</v>
      </c>
      <c r="O33" s="160">
        <f t="shared" si="1"/>
        <v>7.9069904463626717E-2</v>
      </c>
      <c r="P33" s="160">
        <f t="shared" si="1"/>
        <v>8.9106368077188414E-2</v>
      </c>
    </row>
    <row r="34" spans="1:16">
      <c r="A34" s="150">
        <v>43</v>
      </c>
      <c r="B34" s="159">
        <v>335630</v>
      </c>
      <c r="C34" s="159">
        <v>513287</v>
      </c>
      <c r="D34" s="159">
        <v>779073</v>
      </c>
      <c r="E34" s="159">
        <v>1175610</v>
      </c>
      <c r="F34" s="159">
        <v>1765489</v>
      </c>
      <c r="G34" s="159">
        <v>2639374</v>
      </c>
      <c r="H34" s="159">
        <v>3929845</v>
      </c>
      <c r="J34" s="160">
        <f t="shared" si="1"/>
        <v>2.8559264403031914E-2</v>
      </c>
      <c r="K34" s="160">
        <f t="shared" si="1"/>
        <v>3.8771453256516875E-2</v>
      </c>
      <c r="L34" s="160">
        <f t="shared" si="1"/>
        <v>4.8900701007022374E-2</v>
      </c>
      <c r="M34" s="160">
        <f t="shared" si="1"/>
        <v>5.8985085202880372E-2</v>
      </c>
      <c r="N34" s="160">
        <f t="shared" si="1"/>
        <v>6.9047151919736649E-2</v>
      </c>
      <c r="O34" s="160">
        <f t="shared" si="1"/>
        <v>7.9091225802245368E-2</v>
      </c>
      <c r="P34" s="160">
        <f t="shared" si="1"/>
        <v>8.9126933842274214E-2</v>
      </c>
    </row>
    <row r="35" spans="1:16">
      <c r="A35" s="150">
        <v>44</v>
      </c>
      <c r="B35" s="159">
        <v>345668</v>
      </c>
      <c r="C35" s="159">
        <v>533787</v>
      </c>
      <c r="D35" s="159">
        <v>817995</v>
      </c>
      <c r="E35" s="159">
        <v>1246115</v>
      </c>
      <c r="F35" s="159">
        <v>1889042</v>
      </c>
      <c r="G35" s="159">
        <v>2850493</v>
      </c>
      <c r="H35" s="159">
        <v>4283499</v>
      </c>
      <c r="J35" s="160">
        <f t="shared" si="1"/>
        <v>2.8589896370483814E-2</v>
      </c>
      <c r="K35" s="160">
        <f t="shared" si="1"/>
        <v>3.8797966350577306E-2</v>
      </c>
      <c r="L35" s="160">
        <f t="shared" si="1"/>
        <v>4.8924749916317678E-2</v>
      </c>
      <c r="M35" s="160">
        <f t="shared" si="1"/>
        <v>5.90075303157791E-2</v>
      </c>
      <c r="N35" s="160">
        <f t="shared" si="1"/>
        <v>6.9068396452392156E-2</v>
      </c>
      <c r="O35" s="160">
        <f t="shared" si="1"/>
        <v>7.9111605236456883E-2</v>
      </c>
      <c r="P35" s="160">
        <f t="shared" si="1"/>
        <v>8.9146583278044034E-2</v>
      </c>
    </row>
    <row r="36" spans="1:16">
      <c r="A36" s="150">
        <v>45</v>
      </c>
      <c r="B36" s="159">
        <v>356007</v>
      </c>
      <c r="C36" s="159">
        <v>555107</v>
      </c>
      <c r="D36" s="159">
        <v>858864</v>
      </c>
      <c r="E36" s="159">
        <v>1320850</v>
      </c>
      <c r="F36" s="159">
        <v>2021243</v>
      </c>
      <c r="G36" s="159">
        <v>3078500</v>
      </c>
      <c r="H36" s="159">
        <v>4668982</v>
      </c>
      <c r="J36" s="160">
        <f t="shared" si="1"/>
        <v>2.8619218117952094E-2</v>
      </c>
      <c r="K36" s="160">
        <f t="shared" si="1"/>
        <v>3.88233540026659E-2</v>
      </c>
      <c r="L36" s="160">
        <f t="shared" si="1"/>
        <v>4.8947797841724539E-2</v>
      </c>
      <c r="M36" s="160">
        <f t="shared" si="1"/>
        <v>5.9029006733872125E-2</v>
      </c>
      <c r="N36" s="160">
        <f t="shared" si="1"/>
        <v>6.9088714521520878E-2</v>
      </c>
      <c r="O36" s="160">
        <f t="shared" si="1"/>
        <v>7.9131086703106757E-2</v>
      </c>
      <c r="P36" s="160">
        <f t="shared" si="1"/>
        <v>8.9165375414223869E-2</v>
      </c>
    </row>
    <row r="37" spans="1:16">
      <c r="A37" s="150">
        <v>46</v>
      </c>
      <c r="B37" s="159">
        <v>366655</v>
      </c>
      <c r="C37" s="159">
        <v>577280</v>
      </c>
      <c r="D37" s="159">
        <v>901775</v>
      </c>
      <c r="E37" s="159">
        <v>1400069</v>
      </c>
      <c r="F37" s="159">
        <v>2162698</v>
      </c>
      <c r="G37" s="159">
        <v>3324748</v>
      </c>
      <c r="H37" s="159">
        <v>5089158</v>
      </c>
      <c r="J37" s="160">
        <f t="shared" si="1"/>
        <v>2.8647251054831901E-2</v>
      </c>
      <c r="K37" s="160">
        <f t="shared" si="1"/>
        <v>3.8847695436863727E-2</v>
      </c>
      <c r="L37" s="160">
        <f t="shared" si="1"/>
        <v>4.8969846340729317E-2</v>
      </c>
      <c r="M37" s="160">
        <f t="shared" si="1"/>
        <v>5.9049579618313253E-2</v>
      </c>
      <c r="N37" s="160">
        <f t="shared" si="1"/>
        <v>6.9108172826699121E-2</v>
      </c>
      <c r="O37" s="160">
        <f t="shared" si="1"/>
        <v>7.914974289266663E-2</v>
      </c>
      <c r="P37" s="160">
        <f t="shared" si="1"/>
        <v>8.9183361978419917E-2</v>
      </c>
    </row>
    <row r="38" spans="1:16">
      <c r="A38" s="150">
        <v>47</v>
      </c>
      <c r="B38" s="159">
        <v>377623</v>
      </c>
      <c r="C38" s="159">
        <v>600339</v>
      </c>
      <c r="D38" s="159">
        <v>946832</v>
      </c>
      <c r="E38" s="159">
        <v>1484041</v>
      </c>
      <c r="F38" s="159">
        <v>2314055</v>
      </c>
      <c r="G38" s="159">
        <v>3590695</v>
      </c>
      <c r="H38" s="159">
        <v>5547150</v>
      </c>
      <c r="J38" s="160">
        <f t="shared" si="1"/>
        <v>2.8674180110913161E-2</v>
      </c>
      <c r="K38" s="160">
        <f t="shared" si="1"/>
        <v>3.8871013729248283E-2</v>
      </c>
      <c r="L38" s="160">
        <f t="shared" si="1"/>
        <v>4.8991005570445667E-2</v>
      </c>
      <c r="M38" s="160">
        <f t="shared" si="1"/>
        <v>5.9069304450785509E-2</v>
      </c>
      <c r="N38" s="160">
        <f t="shared" si="1"/>
        <v>6.9126826946598774E-2</v>
      </c>
      <c r="O38" s="160">
        <f t="shared" si="1"/>
        <v>7.9167616500621429E-2</v>
      </c>
      <c r="P38" s="160">
        <f t="shared" si="1"/>
        <v>8.9200596277481559E-2</v>
      </c>
    </row>
    <row r="39" spans="1:16">
      <c r="A39" s="150">
        <v>48</v>
      </c>
      <c r="B39" s="159">
        <v>388920</v>
      </c>
      <c r="C39" s="159">
        <v>624321</v>
      </c>
      <c r="D39" s="159">
        <v>994141</v>
      </c>
      <c r="E39" s="159">
        <v>1573051</v>
      </c>
      <c r="F39" s="159">
        <v>2476006</v>
      </c>
      <c r="G39" s="159">
        <v>3877918</v>
      </c>
      <c r="H39" s="159">
        <v>6046360</v>
      </c>
      <c r="J39" s="160">
        <f t="shared" si="1"/>
        <v>2.8700037751591134E-2</v>
      </c>
      <c r="K39" s="160">
        <f t="shared" si="1"/>
        <v>3.8893427693934113E-2</v>
      </c>
      <c r="L39" s="160">
        <f t="shared" si="1"/>
        <v>4.9011299754140092E-2</v>
      </c>
      <c r="M39" s="160">
        <f t="shared" si="1"/>
        <v>5.9088230309793488E-2</v>
      </c>
      <c r="N39" s="160">
        <f t="shared" si="1"/>
        <v>6.9144715269393586E-2</v>
      </c>
      <c r="O39" s="160">
        <f t="shared" si="1"/>
        <v>7.918476227399962E-2</v>
      </c>
      <c r="P39" s="160">
        <f t="shared" si="1"/>
        <v>8.9217118814996388E-2</v>
      </c>
    </row>
    <row r="40" spans="1:16">
      <c r="A40" s="150">
        <v>49</v>
      </c>
      <c r="B40" s="159">
        <v>400555</v>
      </c>
      <c r="C40" s="159">
        <v>649261</v>
      </c>
      <c r="D40" s="159">
        <v>1043815</v>
      </c>
      <c r="E40" s="159">
        <v>1667402</v>
      </c>
      <c r="F40" s="159">
        <v>2649293</v>
      </c>
      <c r="G40" s="159">
        <v>4188118</v>
      </c>
      <c r="H40" s="159">
        <v>6590499</v>
      </c>
      <c r="J40" s="160">
        <f t="shared" si="1"/>
        <v>2.872484258292074E-2</v>
      </c>
      <c r="K40" s="160">
        <f t="shared" si="1"/>
        <v>3.8914926628373925E-2</v>
      </c>
      <c r="L40" s="160">
        <f t="shared" si="1"/>
        <v>4.9030790151671333E-2</v>
      </c>
      <c r="M40" s="160">
        <f t="shared" si="1"/>
        <v>5.9106414425139198E-2</v>
      </c>
      <c r="N40" s="160">
        <f t="shared" si="1"/>
        <v>6.9161887978151704E-2</v>
      </c>
      <c r="O40" s="160">
        <f t="shared" si="1"/>
        <v>7.9201217771873722E-2</v>
      </c>
      <c r="P40" s="160">
        <f t="shared" si="1"/>
        <v>8.9232977704700511E-2</v>
      </c>
    </row>
    <row r="41" spans="1:16">
      <c r="A41" s="150">
        <v>50</v>
      </c>
      <c r="B41" s="159">
        <v>412539</v>
      </c>
      <c r="C41" s="159">
        <v>675199</v>
      </c>
      <c r="D41" s="159">
        <v>1095973</v>
      </c>
      <c r="E41" s="159">
        <v>1767413</v>
      </c>
      <c r="F41" s="159">
        <v>2834711</v>
      </c>
      <c r="G41" s="159">
        <v>4523134</v>
      </c>
      <c r="H41" s="159">
        <v>7183611</v>
      </c>
      <c r="J41" s="160">
        <f t="shared" si="1"/>
        <v>2.874870193054857E-2</v>
      </c>
      <c r="K41" s="160">
        <f t="shared" si="1"/>
        <v>3.8935618705581376E-2</v>
      </c>
      <c r="L41" s="160">
        <f t="shared" si="1"/>
        <v>4.9049538631085632E-2</v>
      </c>
      <c r="M41" s="160">
        <f t="shared" si="1"/>
        <v>5.9123881812035206E-2</v>
      </c>
      <c r="N41" s="160">
        <f t="shared" si="1"/>
        <v>6.9178398546434483E-2</v>
      </c>
      <c r="O41" s="160">
        <f t="shared" si="1"/>
        <v>7.9217028050543092E-2</v>
      </c>
      <c r="P41" s="160">
        <f t="shared" si="1"/>
        <v>8.9248213057436576E-2</v>
      </c>
    </row>
    <row r="42" spans="1:16">
      <c r="A42" s="150">
        <v>51</v>
      </c>
      <c r="B42" s="159">
        <v>424883</v>
      </c>
      <c r="C42" s="159">
        <v>702174</v>
      </c>
      <c r="D42" s="159">
        <v>1150738</v>
      </c>
      <c r="E42" s="159">
        <v>1873424</v>
      </c>
      <c r="F42" s="159">
        <v>3033107</v>
      </c>
      <c r="G42" s="159">
        <v>4884951</v>
      </c>
      <c r="H42" s="159">
        <v>7830101</v>
      </c>
      <c r="J42" s="160">
        <f t="shared" si="1"/>
        <v>2.8771695304572242E-2</v>
      </c>
      <c r="K42" s="160">
        <f t="shared" si="1"/>
        <v>3.8955522229924933E-2</v>
      </c>
      <c r="L42" s="160">
        <f t="shared" si="1"/>
        <v>4.9067565356412768E-2</v>
      </c>
      <c r="M42" s="160">
        <f t="shared" si="1"/>
        <v>5.914067917984478E-2</v>
      </c>
      <c r="N42" s="160">
        <f t="shared" si="1"/>
        <v>6.9194268899295475E-2</v>
      </c>
      <c r="O42" s="160">
        <f t="shared" si="1"/>
        <v>7.9232228911216174E-2</v>
      </c>
      <c r="P42" s="160">
        <f t="shared" si="1"/>
        <v>8.9262853551191013E-2</v>
      </c>
    </row>
    <row r="43" spans="1:16">
      <c r="A43" s="150">
        <v>52</v>
      </c>
      <c r="B43" s="159">
        <v>437596</v>
      </c>
      <c r="C43" s="159">
        <v>730227</v>
      </c>
      <c r="D43" s="159">
        <v>1208242</v>
      </c>
      <c r="E43" s="159">
        <v>1985796</v>
      </c>
      <c r="F43" s="159">
        <v>3245390</v>
      </c>
      <c r="G43" s="159">
        <v>5275713</v>
      </c>
      <c r="H43" s="159">
        <v>8534776</v>
      </c>
      <c r="J43" s="160">
        <f t="shared" si="1"/>
        <v>2.8793788643632467E-2</v>
      </c>
      <c r="K43" s="160">
        <f t="shared" si="1"/>
        <v>3.89746692616455E-2</v>
      </c>
      <c r="L43" s="160">
        <f t="shared" si="1"/>
        <v>4.9084939637914937E-2</v>
      </c>
      <c r="M43" s="160">
        <f t="shared" si="1"/>
        <v>5.9156855016043508E-2</v>
      </c>
      <c r="N43" s="160">
        <f t="shared" si="1"/>
        <v>6.9209539488787275E-2</v>
      </c>
      <c r="O43" s="160">
        <f t="shared" si="1"/>
        <v>7.9246854520485632E-2</v>
      </c>
      <c r="P43" s="160">
        <f t="shared" si="1"/>
        <v>8.9276941072243821E-2</v>
      </c>
    </row>
    <row r="44" spans="1:16">
      <c r="A44" s="150">
        <v>53</v>
      </c>
      <c r="B44" s="159">
        <v>450690</v>
      </c>
      <c r="C44" s="159">
        <v>759403</v>
      </c>
      <c r="D44" s="159">
        <v>1268620</v>
      </c>
      <c r="E44" s="159">
        <v>2104909</v>
      </c>
      <c r="F44" s="159">
        <v>3472533</v>
      </c>
      <c r="G44" s="159">
        <v>5697736</v>
      </c>
      <c r="H44" s="159">
        <v>9302872</v>
      </c>
      <c r="J44" s="160">
        <f t="shared" si="1"/>
        <v>2.8815075081708663E-2</v>
      </c>
      <c r="K44" s="160">
        <f t="shared" si="1"/>
        <v>3.8993151837974027E-2</v>
      </c>
      <c r="L44" s="160">
        <f t="shared" si="1"/>
        <v>4.910166548650885E-2</v>
      </c>
      <c r="M44" s="160">
        <f t="shared" si="1"/>
        <v>5.9172427187707655E-2</v>
      </c>
      <c r="N44" s="160">
        <f t="shared" si="1"/>
        <v>6.9224249163208018E-2</v>
      </c>
      <c r="O44" s="160">
        <f t="shared" si="1"/>
        <v>7.9260938293220784E-2</v>
      </c>
      <c r="P44" s="160">
        <f t="shared" si="1"/>
        <v>8.9290504491026379E-2</v>
      </c>
    </row>
    <row r="45" spans="1:16">
      <c r="A45" s="150">
        <v>54</v>
      </c>
      <c r="B45" s="159">
        <v>464177</v>
      </c>
      <c r="C45" s="159">
        <v>789744</v>
      </c>
      <c r="D45" s="159">
        <v>1332016</v>
      </c>
      <c r="E45" s="159">
        <v>2231169</v>
      </c>
      <c r="F45" s="159">
        <v>3715576</v>
      </c>
      <c r="G45" s="159">
        <v>6153519</v>
      </c>
      <c r="H45" s="159">
        <v>10140095</v>
      </c>
      <c r="J45" s="160">
        <f t="shared" si="1"/>
        <v>2.8835622549031825E-2</v>
      </c>
      <c r="K45" s="160">
        <f t="shared" si="1"/>
        <v>3.9010932684916177E-2</v>
      </c>
      <c r="L45" s="160">
        <f t="shared" si="1"/>
        <v>4.911778383854859E-2</v>
      </c>
      <c r="M45" s="160">
        <f t="shared" si="1"/>
        <v>5.9187443092238556E-2</v>
      </c>
      <c r="N45" s="160">
        <f t="shared" si="1"/>
        <v>6.9238426966110156E-2</v>
      </c>
      <c r="O45" s="160">
        <f t="shared" si="1"/>
        <v>7.9274503486358228E-2</v>
      </c>
      <c r="P45" s="160">
        <f t="shared" si="1"/>
        <v>8.930356851656307E-2</v>
      </c>
    </row>
    <row r="46" spans="1:16">
      <c r="A46" s="150">
        <v>55</v>
      </c>
      <c r="B46" s="159">
        <v>478068</v>
      </c>
      <c r="C46" s="159">
        <v>821299</v>
      </c>
      <c r="D46" s="159">
        <v>1398582</v>
      </c>
      <c r="E46" s="159">
        <v>2365004</v>
      </c>
      <c r="F46" s="159">
        <v>3975631</v>
      </c>
      <c r="G46" s="159">
        <v>6645765</v>
      </c>
      <c r="H46" s="159">
        <v>11052668</v>
      </c>
      <c r="J46" s="160">
        <f t="shared" si="1"/>
        <v>2.8855438816236756E-2</v>
      </c>
      <c r="K46" s="160">
        <f t="shared" si="1"/>
        <v>3.9028107799901512E-2</v>
      </c>
      <c r="L46" s="160">
        <f t="shared" si="1"/>
        <v>4.9133342885740783E-2</v>
      </c>
      <c r="M46" s="160">
        <f t="shared" si="1"/>
        <v>5.9201925150421886E-2</v>
      </c>
      <c r="N46" s="160">
        <f t="shared" si="1"/>
        <v>6.9252096194205137E-2</v>
      </c>
      <c r="O46" s="160">
        <f t="shared" si="1"/>
        <v>7.9287585099019342E-2</v>
      </c>
      <c r="P46" s="160">
        <f t="shared" si="1"/>
        <v>8.9316163231215828E-2</v>
      </c>
    </row>
    <row r="47" spans="1:16">
      <c r="A47" s="150">
        <v>56</v>
      </c>
      <c r="B47" s="159">
        <v>492374</v>
      </c>
      <c r="C47" s="159">
        <v>854116</v>
      </c>
      <c r="D47" s="159">
        <v>1468476</v>
      </c>
      <c r="E47" s="159">
        <v>2506869</v>
      </c>
      <c r="F47" s="159">
        <v>4253889</v>
      </c>
      <c r="G47" s="159">
        <v>7177390</v>
      </c>
      <c r="H47" s="159">
        <v>12047371</v>
      </c>
      <c r="J47" s="160">
        <f t="shared" si="1"/>
        <v>2.8874521480104942E-2</v>
      </c>
      <c r="K47" s="160">
        <f t="shared" si="1"/>
        <v>3.904469561321311E-2</v>
      </c>
      <c r="L47" s="160">
        <f t="shared" si="1"/>
        <v>4.9148364831117064E-2</v>
      </c>
      <c r="M47" s="160">
        <f t="shared" si="1"/>
        <v>5.9215905329173424E-2</v>
      </c>
      <c r="N47" s="160">
        <f t="shared" si="1"/>
        <v>6.9265284681885975E-2</v>
      </c>
      <c r="O47" s="160">
        <f t="shared" si="1"/>
        <v>7.9300205465320461E-2</v>
      </c>
      <c r="P47" s="160">
        <f t="shared" si="1"/>
        <v>8.9328310903416641E-2</v>
      </c>
    </row>
    <row r="48" spans="1:16">
      <c r="A48" s="150">
        <v>57</v>
      </c>
      <c r="B48" s="159">
        <v>507110</v>
      </c>
      <c r="C48" s="159">
        <v>888244</v>
      </c>
      <c r="D48" s="159">
        <v>1541864</v>
      </c>
      <c r="E48" s="159">
        <v>2657245</v>
      </c>
      <c r="F48" s="159">
        <v>4551625</v>
      </c>
      <c r="G48" s="159">
        <v>7751545</v>
      </c>
      <c r="H48" s="159">
        <v>13131598</v>
      </c>
      <c r="J48" s="160">
        <f t="shared" si="1"/>
        <v>2.8893002489624786E-2</v>
      </c>
      <c r="K48" s="160">
        <f t="shared" si="1"/>
        <v>3.9060695839310489E-2</v>
      </c>
      <c r="L48" s="160">
        <f t="shared" si="1"/>
        <v>4.916287247839346E-2</v>
      </c>
      <c r="M48" s="160">
        <f t="shared" si="1"/>
        <v>5.922940363928153E-2</v>
      </c>
      <c r="N48" s="160">
        <f t="shared" si="1"/>
        <v>6.9278020756264214E-2</v>
      </c>
      <c r="O48" s="160">
        <f t="shared" si="1"/>
        <v>7.9312390225453111E-2</v>
      </c>
      <c r="P48" s="160">
        <f t="shared" si="1"/>
        <v>8.9340038394232213E-2</v>
      </c>
    </row>
    <row r="49" spans="1:16">
      <c r="A49" s="150">
        <v>58</v>
      </c>
      <c r="B49" s="159">
        <v>522287</v>
      </c>
      <c r="C49" s="159">
        <v>923738</v>
      </c>
      <c r="D49" s="159">
        <v>1618920</v>
      </c>
      <c r="E49" s="159">
        <v>2816642</v>
      </c>
      <c r="F49" s="159">
        <v>4870201</v>
      </c>
      <c r="G49" s="159">
        <v>8371631</v>
      </c>
      <c r="H49" s="159">
        <v>14313404</v>
      </c>
      <c r="J49" s="160">
        <f t="shared" si="1"/>
        <v>2.8910845657575734E-2</v>
      </c>
      <c r="K49" s="160">
        <f t="shared" si="1"/>
        <v>3.9076190027737434E-2</v>
      </c>
      <c r="L49" s="160">
        <f t="shared" si="1"/>
        <v>4.9176884400300436E-2</v>
      </c>
      <c r="M49" s="160">
        <f t="shared" si="1"/>
        <v>5.9242440595064894E-2</v>
      </c>
      <c r="N49" s="160">
        <f t="shared" si="1"/>
        <v>6.929032164486415E-2</v>
      </c>
      <c r="O49" s="160">
        <f t="shared" si="1"/>
        <v>7.9324158276976142E-2</v>
      </c>
      <c r="P49" s="160">
        <f t="shared" si="1"/>
        <v>8.935136402959265E-2</v>
      </c>
    </row>
    <row r="50" spans="1:16">
      <c r="A50" s="150">
        <v>59</v>
      </c>
      <c r="B50" s="159">
        <v>537918</v>
      </c>
      <c r="C50" s="159">
        <v>960650</v>
      </c>
      <c r="D50" s="159">
        <v>1699828</v>
      </c>
      <c r="E50" s="159">
        <v>2985603</v>
      </c>
      <c r="F50" s="159">
        <v>5211077</v>
      </c>
      <c r="G50" s="159">
        <v>9041324</v>
      </c>
      <c r="H50" s="159">
        <v>15601572</v>
      </c>
      <c r="J50" s="160">
        <f t="shared" si="1"/>
        <v>2.8928077017132514E-2</v>
      </c>
      <c r="K50" s="160">
        <f t="shared" si="1"/>
        <v>3.9091153139877877E-2</v>
      </c>
      <c r="L50" s="160">
        <f t="shared" si="1"/>
        <v>4.9190432599419687E-2</v>
      </c>
      <c r="M50" s="160">
        <f t="shared" si="1"/>
        <v>5.9255050453925318E-2</v>
      </c>
      <c r="N50" s="160">
        <f t="shared" si="1"/>
        <v>6.9302213764991905E-2</v>
      </c>
      <c r="O50" s="160">
        <f t="shared" si="1"/>
        <v>7.9335533862049612E-2</v>
      </c>
      <c r="P50" s="160">
        <f t="shared" si="1"/>
        <v>8.9362309245992755E-2</v>
      </c>
    </row>
    <row r="51" spans="1:16" ht="13.5" thickBot="1">
      <c r="A51" s="150">
        <v>60</v>
      </c>
      <c r="B51" s="159">
        <v>554018</v>
      </c>
      <c r="C51" s="159">
        <v>999038</v>
      </c>
      <c r="D51" s="159">
        <v>1784781</v>
      </c>
      <c r="E51" s="159">
        <v>3164701</v>
      </c>
      <c r="F51" s="159">
        <v>5575814</v>
      </c>
      <c r="G51" s="159">
        <v>9764591</v>
      </c>
      <c r="H51" s="159">
        <v>17005675</v>
      </c>
      <c r="J51" s="160">
        <f t="shared" si="1"/>
        <v>2.8944771280743797E-2</v>
      </c>
      <c r="K51" s="160">
        <f t="shared" si="1"/>
        <v>3.9105635355698887E-2</v>
      </c>
      <c r="L51" s="160">
        <f t="shared" si="1"/>
        <v>4.9203544045999248E-2</v>
      </c>
      <c r="M51" s="160">
        <f t="shared" si="1"/>
        <v>5.9267249000658495E-2</v>
      </c>
      <c r="N51" s="160">
        <f t="shared" si="1"/>
        <v>6.9313717100854877E-2</v>
      </c>
      <c r="O51" s="160">
        <f t="shared" si="1"/>
        <v>7.9346533245619355E-2</v>
      </c>
      <c r="P51" s="160">
        <f t="shared" si="1"/>
        <v>8.937289328412823E-2</v>
      </c>
    </row>
    <row r="52" spans="1:16" s="153" customFormat="1">
      <c r="I52" s="162" t="s">
        <v>0</v>
      </c>
    </row>
    <row r="53" spans="1:16" s="153" customFormat="1" ht="13.5" thickBot="1">
      <c r="I53" s="163">
        <f>SUM(J53:P53)</f>
        <v>5.6919736111921582E-2</v>
      </c>
      <c r="J53" s="160">
        <f>IF(Hilfe!$E$3='FSX (Einzel)'!J2,VLOOKUP(Hilfe!$B$54,$A$3:$P$51,10),0)</f>
        <v>0</v>
      </c>
      <c r="K53" s="160">
        <f>IF(Hilfe!$E$3='FSX (Einzel)'!K2,VLOOKUP(Hilfe!$B$54,$A$3:$P$51,11),0)</f>
        <v>0</v>
      </c>
      <c r="L53" s="160">
        <f>IF(Hilfe!$E$3='FSX (Einzel)'!L2,VLOOKUP(Hilfe!$B$54,$A$3:$P$51,12),0)</f>
        <v>0</v>
      </c>
      <c r="M53" s="160">
        <f>IF(Hilfe!$E$3='FSX (Einzel)'!M2,VLOOKUP(Hilfe!$B$54,$A$3:$P$51,13),0)</f>
        <v>5.6919736111921582E-2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3"/>
  <dimension ref="A1:P53"/>
  <sheetViews>
    <sheetView topLeftCell="A28"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135</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9">
        <v>140924</v>
      </c>
      <c r="C3" s="159">
        <v>158285</v>
      </c>
      <c r="D3" s="159">
        <v>177587</v>
      </c>
      <c r="E3" s="159">
        <v>199007</v>
      </c>
      <c r="F3" s="159">
        <v>222946</v>
      </c>
      <c r="G3" s="159">
        <v>249459</v>
      </c>
      <c r="H3" s="159">
        <v>278813</v>
      </c>
      <c r="J3" s="160">
        <f>(B3/100000)^(1/$A3)-1</f>
        <v>2.9000091731785638E-2</v>
      </c>
      <c r="K3" s="160">
        <f t="shared" ref="K3:P18" si="0">(C3/100000)^(1/$A3)-1</f>
        <v>3.9010604279738903E-2</v>
      </c>
      <c r="L3" s="160">
        <f t="shared" si="0"/>
        <v>4.9021197944858264E-2</v>
      </c>
      <c r="M3" s="160">
        <f t="shared" si="0"/>
        <v>5.9023740801549707E-2</v>
      </c>
      <c r="N3" s="160">
        <f t="shared" si="0"/>
        <v>6.9095841853594298E-2</v>
      </c>
      <c r="O3" s="160">
        <f t="shared" si="0"/>
        <v>7.9153602241862409E-2</v>
      </c>
      <c r="P3" s="160">
        <f t="shared" si="0"/>
        <v>8.920447829213507E-2</v>
      </c>
    </row>
    <row r="4" spans="1:16">
      <c r="A4" s="150">
        <v>13</v>
      </c>
      <c r="B4" s="159">
        <v>145267</v>
      </c>
      <c r="C4" s="159">
        <v>164752</v>
      </c>
      <c r="D4" s="159">
        <v>186623</v>
      </c>
      <c r="E4" s="159">
        <v>211216</v>
      </c>
      <c r="F4" s="159">
        <v>238880</v>
      </c>
      <c r="G4" s="159">
        <v>269790</v>
      </c>
      <c r="H4" s="159">
        <v>304345</v>
      </c>
      <c r="J4" s="160">
        <f t="shared" ref="J4:P51" si="1">(B4/100000)^(1/$A4)-1</f>
        <v>2.9139819206536632E-2</v>
      </c>
      <c r="K4" s="160">
        <f t="shared" si="0"/>
        <v>3.915249398281806E-2</v>
      </c>
      <c r="L4" s="160">
        <f t="shared" si="0"/>
        <v>4.9164227409354666E-2</v>
      </c>
      <c r="M4" s="160">
        <f t="shared" si="0"/>
        <v>5.9202472008039742E-2</v>
      </c>
      <c r="N4" s="160">
        <f t="shared" si="0"/>
        <v>6.9278299488740425E-2</v>
      </c>
      <c r="O4" s="160">
        <f t="shared" si="0"/>
        <v>7.9333941659977425E-2</v>
      </c>
      <c r="P4" s="160">
        <f t="shared" si="0"/>
        <v>8.9386560472377585E-2</v>
      </c>
    </row>
    <row r="5" spans="1:16">
      <c r="A5" s="150">
        <v>14</v>
      </c>
      <c r="B5" s="159">
        <v>149745</v>
      </c>
      <c r="C5" s="159">
        <v>171484</v>
      </c>
      <c r="D5" s="159">
        <v>196121</v>
      </c>
      <c r="E5" s="159">
        <v>224195</v>
      </c>
      <c r="F5" s="159">
        <v>255955</v>
      </c>
      <c r="G5" s="159">
        <v>291780</v>
      </c>
      <c r="H5" s="159">
        <v>332369</v>
      </c>
      <c r="J5" s="160">
        <f t="shared" si="1"/>
        <v>2.9260168901882544E-2</v>
      </c>
      <c r="K5" s="160">
        <f t="shared" si="0"/>
        <v>3.9274466734367186E-2</v>
      </c>
      <c r="L5" s="160">
        <f t="shared" si="0"/>
        <v>4.9287691570090608E-2</v>
      </c>
      <c r="M5" s="160">
        <f t="shared" si="0"/>
        <v>5.9362776447210219E-2</v>
      </c>
      <c r="N5" s="160">
        <f t="shared" si="0"/>
        <v>6.9435371168327764E-2</v>
      </c>
      <c r="O5" s="160">
        <f t="shared" si="0"/>
        <v>7.9489075055531933E-2</v>
      </c>
      <c r="P5" s="160">
        <f t="shared" si="0"/>
        <v>8.9578708002062024E-2</v>
      </c>
    </row>
    <row r="6" spans="1:16">
      <c r="A6" s="150">
        <v>15</v>
      </c>
      <c r="B6" s="159">
        <v>154362</v>
      </c>
      <c r="C6" s="159">
        <v>178492</v>
      </c>
      <c r="D6" s="159">
        <v>206163</v>
      </c>
      <c r="E6" s="159">
        <v>237974</v>
      </c>
      <c r="F6" s="159">
        <v>274253</v>
      </c>
      <c r="G6" s="159">
        <v>315657</v>
      </c>
      <c r="H6" s="159">
        <v>362977</v>
      </c>
      <c r="J6" s="160">
        <f t="shared" si="1"/>
        <v>2.9364910669870348E-2</v>
      </c>
      <c r="K6" s="160">
        <f t="shared" si="0"/>
        <v>3.9380545553282742E-2</v>
      </c>
      <c r="L6" s="160">
        <f t="shared" si="0"/>
        <v>4.9415275737082265E-2</v>
      </c>
      <c r="M6" s="160">
        <f t="shared" si="0"/>
        <v>5.9502455014449174E-2</v>
      </c>
      <c r="N6" s="160">
        <f t="shared" si="0"/>
        <v>6.9572165801116359E-2</v>
      </c>
      <c r="O6" s="160">
        <f t="shared" si="0"/>
        <v>7.9645125532354477E-2</v>
      </c>
      <c r="P6" s="160">
        <f t="shared" si="0"/>
        <v>8.9745975440253867E-2</v>
      </c>
    </row>
    <row r="7" spans="1:16">
      <c r="A7" s="150">
        <v>16</v>
      </c>
      <c r="B7" s="159">
        <v>159123</v>
      </c>
      <c r="C7" s="159">
        <v>185787</v>
      </c>
      <c r="D7" s="159">
        <v>216766</v>
      </c>
      <c r="E7" s="159">
        <v>252601</v>
      </c>
      <c r="F7" s="159">
        <v>293861</v>
      </c>
      <c r="G7" s="159">
        <v>341561</v>
      </c>
      <c r="H7" s="159">
        <v>396406</v>
      </c>
      <c r="J7" s="160">
        <f t="shared" si="1"/>
        <v>2.945723431963998E-2</v>
      </c>
      <c r="K7" s="160">
        <f t="shared" si="0"/>
        <v>3.9473585158143809E-2</v>
      </c>
      <c r="L7" s="160">
        <f t="shared" si="0"/>
        <v>4.9541093993657359E-2</v>
      </c>
      <c r="M7" s="160">
        <f t="shared" si="0"/>
        <v>5.962498884782641E-2</v>
      </c>
      <c r="N7" s="160">
        <f t="shared" si="0"/>
        <v>6.9692305886553507E-2</v>
      </c>
      <c r="O7" s="160">
        <f t="shared" si="0"/>
        <v>7.9796131620563093E-2</v>
      </c>
      <c r="P7" s="160">
        <f t="shared" si="0"/>
        <v>8.989275014344944E-2</v>
      </c>
    </row>
    <row r="8" spans="1:16">
      <c r="A8" s="150">
        <v>17</v>
      </c>
      <c r="B8" s="159">
        <v>164031</v>
      </c>
      <c r="C8" s="159">
        <v>193382</v>
      </c>
      <c r="D8" s="159">
        <v>227916</v>
      </c>
      <c r="E8" s="159">
        <v>268128</v>
      </c>
      <c r="F8" s="159">
        <v>314977</v>
      </c>
      <c r="G8" s="159">
        <v>369594</v>
      </c>
      <c r="H8" s="159">
        <v>432917</v>
      </c>
      <c r="J8" s="160">
        <f t="shared" si="1"/>
        <v>2.9538760866076874E-2</v>
      </c>
      <c r="K8" s="160">
        <f t="shared" si="0"/>
        <v>3.9556271490856165E-2</v>
      </c>
      <c r="L8" s="160">
        <f t="shared" si="0"/>
        <v>4.9652579331002977E-2</v>
      </c>
      <c r="M8" s="160">
        <f t="shared" si="0"/>
        <v>5.9733340934650325E-2</v>
      </c>
      <c r="N8" s="160">
        <f t="shared" si="0"/>
        <v>6.981952574889938E-2</v>
      </c>
      <c r="O8" s="160">
        <f t="shared" si="0"/>
        <v>7.9929943343621801E-2</v>
      </c>
      <c r="P8" s="160">
        <f t="shared" si="0"/>
        <v>9.0022762106892307E-2</v>
      </c>
    </row>
    <row r="9" spans="1:16">
      <c r="A9" s="150">
        <v>18</v>
      </c>
      <c r="B9" s="159">
        <v>169091</v>
      </c>
      <c r="C9" s="159">
        <v>201297</v>
      </c>
      <c r="D9" s="159">
        <v>239640</v>
      </c>
      <c r="E9" s="159">
        <v>284612</v>
      </c>
      <c r="F9" s="159">
        <v>337670</v>
      </c>
      <c r="G9" s="159">
        <v>399930</v>
      </c>
      <c r="H9" s="159">
        <v>472794</v>
      </c>
      <c r="J9" s="160">
        <f t="shared" si="1"/>
        <v>2.9611443161485784E-2</v>
      </c>
      <c r="K9" s="160">
        <f t="shared" si="0"/>
        <v>3.9632506217558428E-2</v>
      </c>
      <c r="L9" s="160">
        <f t="shared" si="0"/>
        <v>4.975180094965026E-2</v>
      </c>
      <c r="M9" s="160">
        <f t="shared" si="0"/>
        <v>5.9830196713544392E-2</v>
      </c>
      <c r="N9" s="160">
        <f t="shared" si="0"/>
        <v>6.9943126772156639E-2</v>
      </c>
      <c r="O9" s="160">
        <f t="shared" si="0"/>
        <v>8.0049237443656551E-2</v>
      </c>
      <c r="P9" s="160">
        <f t="shared" si="0"/>
        <v>9.0138745078983673E-2</v>
      </c>
    </row>
    <row r="10" spans="1:16">
      <c r="A10" s="150">
        <v>19</v>
      </c>
      <c r="B10" s="159">
        <v>174308</v>
      </c>
      <c r="C10" s="159">
        <v>209633</v>
      </c>
      <c r="D10" s="159">
        <v>251970</v>
      </c>
      <c r="E10" s="159">
        <v>302124</v>
      </c>
      <c r="F10" s="159">
        <v>361999</v>
      </c>
      <c r="G10" s="159">
        <v>432758</v>
      </c>
      <c r="H10" s="159">
        <v>516346</v>
      </c>
      <c r="J10" s="160">
        <f t="shared" si="1"/>
        <v>2.9676761961784592E-2</v>
      </c>
      <c r="K10" s="160">
        <f t="shared" si="0"/>
        <v>3.9726058862840308E-2</v>
      </c>
      <c r="L10" s="160">
        <f t="shared" si="0"/>
        <v>4.9841225899191155E-2</v>
      </c>
      <c r="M10" s="160">
        <f t="shared" si="0"/>
        <v>5.9919559584638016E-2</v>
      </c>
      <c r="N10" s="160">
        <f t="shared" si="0"/>
        <v>7.0053892323904465E-2</v>
      </c>
      <c r="O10" s="160">
        <f t="shared" si="0"/>
        <v>8.0156253920901976E-2</v>
      </c>
      <c r="P10" s="160">
        <f t="shared" si="0"/>
        <v>9.0242733814485998E-2</v>
      </c>
    </row>
    <row r="11" spans="1:16">
      <c r="A11" s="150">
        <v>20</v>
      </c>
      <c r="B11" s="159">
        <v>179686</v>
      </c>
      <c r="C11" s="159">
        <v>218315</v>
      </c>
      <c r="D11" s="159">
        <v>264935</v>
      </c>
      <c r="E11" s="159">
        <v>320862</v>
      </c>
      <c r="F11" s="159">
        <v>388084</v>
      </c>
      <c r="G11" s="159">
        <v>468284</v>
      </c>
      <c r="H11" s="159">
        <v>563912</v>
      </c>
      <c r="J11" s="160">
        <f t="shared" si="1"/>
        <v>2.9735563544836863E-2</v>
      </c>
      <c r="K11" s="160">
        <f t="shared" si="0"/>
        <v>3.9810452571236832E-2</v>
      </c>
      <c r="L11" s="160">
        <f t="shared" si="0"/>
        <v>4.9921832693679891E-2</v>
      </c>
      <c r="M11" s="160">
        <f t="shared" si="0"/>
        <v>6.0024527395020177E-2</v>
      </c>
      <c r="N11" s="160">
        <f t="shared" si="0"/>
        <v>7.0154019157071978E-2</v>
      </c>
      <c r="O11" s="160">
        <f t="shared" si="0"/>
        <v>8.0252962421535123E-2</v>
      </c>
      <c r="P11" s="160">
        <f t="shared" si="0"/>
        <v>9.0336540401161569E-2</v>
      </c>
    </row>
    <row r="12" spans="1:16">
      <c r="A12" s="150">
        <v>21</v>
      </c>
      <c r="B12" s="159">
        <v>185232</v>
      </c>
      <c r="C12" s="159">
        <v>227359</v>
      </c>
      <c r="D12" s="159">
        <v>278569</v>
      </c>
      <c r="E12" s="159">
        <v>340764</v>
      </c>
      <c r="F12" s="159">
        <v>416050</v>
      </c>
      <c r="G12" s="159">
        <v>506728</v>
      </c>
      <c r="H12" s="159">
        <v>615864</v>
      </c>
      <c r="J12" s="160">
        <f t="shared" si="1"/>
        <v>2.9789315941588512E-2</v>
      </c>
      <c r="K12" s="160">
        <f t="shared" si="0"/>
        <v>3.9887344576948758E-2</v>
      </c>
      <c r="L12" s="160">
        <f t="shared" si="0"/>
        <v>4.9995107559877905E-2</v>
      </c>
      <c r="M12" s="160">
        <f t="shared" si="0"/>
        <v>6.0119781668200423E-2</v>
      </c>
      <c r="N12" s="160">
        <f t="shared" si="0"/>
        <v>7.0244784962570916E-2</v>
      </c>
      <c r="O12" s="160">
        <f t="shared" si="0"/>
        <v>8.0340630195385287E-2</v>
      </c>
      <c r="P12" s="160">
        <f t="shared" si="0"/>
        <v>9.0421774183703008E-2</v>
      </c>
    </row>
    <row r="13" spans="1:16">
      <c r="A13" s="150">
        <v>22</v>
      </c>
      <c r="B13" s="159">
        <v>190950</v>
      </c>
      <c r="C13" s="159">
        <v>236777</v>
      </c>
      <c r="D13" s="159">
        <v>292906</v>
      </c>
      <c r="E13" s="159">
        <v>361902</v>
      </c>
      <c r="F13" s="159">
        <v>446034</v>
      </c>
      <c r="G13" s="159">
        <v>548331</v>
      </c>
      <c r="H13" s="159">
        <v>672604</v>
      </c>
      <c r="J13" s="160">
        <f t="shared" si="1"/>
        <v>2.983838594052779E-2</v>
      </c>
      <c r="K13" s="160">
        <f t="shared" si="0"/>
        <v>3.9957119535671382E-2</v>
      </c>
      <c r="L13" s="160">
        <f t="shared" si="0"/>
        <v>5.006194899790084E-2</v>
      </c>
      <c r="M13" s="160">
        <f t="shared" si="0"/>
        <v>6.0206589663716503E-2</v>
      </c>
      <c r="N13" s="160">
        <f t="shared" si="0"/>
        <v>7.0327602912755527E-2</v>
      </c>
      <c r="O13" s="160">
        <f t="shared" si="0"/>
        <v>8.0420595989978416E-2</v>
      </c>
      <c r="P13" s="160">
        <f t="shared" si="0"/>
        <v>9.0499395955435213E-2</v>
      </c>
    </row>
    <row r="14" spans="1:16">
      <c r="A14" s="150">
        <v>23</v>
      </c>
      <c r="B14" s="159">
        <v>196845</v>
      </c>
      <c r="C14" s="159">
        <v>246588</v>
      </c>
      <c r="D14" s="159">
        <v>308059</v>
      </c>
      <c r="E14" s="159">
        <v>384354</v>
      </c>
      <c r="F14" s="159">
        <v>478181</v>
      </c>
      <c r="G14" s="159">
        <v>593352</v>
      </c>
      <c r="H14" s="159">
        <v>734575</v>
      </c>
      <c r="J14" s="160">
        <f t="shared" si="1"/>
        <v>2.9883302213835394E-2</v>
      </c>
      <c r="K14" s="160">
        <f t="shared" si="0"/>
        <v>4.0021358167199761E-2</v>
      </c>
      <c r="L14" s="160">
        <f t="shared" si="0"/>
        <v>5.0134562067028599E-2</v>
      </c>
      <c r="M14" s="160">
        <f t="shared" si="0"/>
        <v>6.0286189317917849E-2</v>
      </c>
      <c r="N14" s="160">
        <f t="shared" si="0"/>
        <v>7.0403429795378392E-2</v>
      </c>
      <c r="O14" s="160">
        <f t="shared" si="0"/>
        <v>8.0493798822470319E-2</v>
      </c>
      <c r="P14" s="160">
        <f t="shared" si="0"/>
        <v>9.0570498908727926E-2</v>
      </c>
    </row>
    <row r="15" spans="1:16">
      <c r="A15" s="150">
        <v>24</v>
      </c>
      <c r="B15" s="159">
        <v>202965</v>
      </c>
      <c r="C15" s="159">
        <v>256806</v>
      </c>
      <c r="D15" s="159">
        <v>324079</v>
      </c>
      <c r="E15" s="159">
        <v>408200</v>
      </c>
      <c r="F15" s="159">
        <v>512647</v>
      </c>
      <c r="G15" s="159">
        <v>642072</v>
      </c>
      <c r="H15" s="159">
        <v>802259</v>
      </c>
      <c r="J15" s="160">
        <f t="shared" si="1"/>
        <v>2.9933571888698163E-2</v>
      </c>
      <c r="K15" s="160">
        <f t="shared" si="0"/>
        <v>4.0080327257675075E-2</v>
      </c>
      <c r="L15" s="160">
        <f t="shared" si="0"/>
        <v>5.021234840842248E-2</v>
      </c>
      <c r="M15" s="160">
        <f t="shared" si="0"/>
        <v>6.0359280273169835E-2</v>
      </c>
      <c r="N15" s="160">
        <f t="shared" si="0"/>
        <v>7.0473122581262038E-2</v>
      </c>
      <c r="O15" s="160">
        <f t="shared" si="0"/>
        <v>8.0561083012395063E-2</v>
      </c>
      <c r="P15" s="160">
        <f t="shared" si="0"/>
        <v>9.0635864432263347E-2</v>
      </c>
    </row>
    <row r="16" spans="1:16">
      <c r="A16" s="150">
        <v>25</v>
      </c>
      <c r="B16" s="159">
        <v>209338</v>
      </c>
      <c r="C16" s="159">
        <v>267449</v>
      </c>
      <c r="D16" s="159">
        <v>340934</v>
      </c>
      <c r="E16" s="159">
        <v>433527</v>
      </c>
      <c r="F16" s="159">
        <v>549600</v>
      </c>
      <c r="G16" s="159">
        <v>694795</v>
      </c>
      <c r="H16" s="159">
        <v>876181</v>
      </c>
      <c r="J16" s="160">
        <f t="shared" si="1"/>
        <v>2.9992169084732234E-2</v>
      </c>
      <c r="K16" s="160">
        <f t="shared" si="0"/>
        <v>4.0134829311075038E-2</v>
      </c>
      <c r="L16" s="160">
        <f t="shared" si="0"/>
        <v>5.0284152479400879E-2</v>
      </c>
      <c r="M16" s="160">
        <f t="shared" si="0"/>
        <v>6.0426680263112598E-2</v>
      </c>
      <c r="N16" s="160">
        <f t="shared" si="0"/>
        <v>7.0537460821652465E-2</v>
      </c>
      <c r="O16" s="160">
        <f t="shared" si="0"/>
        <v>8.0623150648141406E-2</v>
      </c>
      <c r="P16" s="160">
        <f t="shared" si="0"/>
        <v>9.0696082465489436E-2</v>
      </c>
    </row>
    <row r="17" spans="1:16">
      <c r="A17" s="150">
        <v>26</v>
      </c>
      <c r="B17" s="159">
        <v>215911</v>
      </c>
      <c r="C17" s="159">
        <v>278534</v>
      </c>
      <c r="D17" s="159">
        <v>358667</v>
      </c>
      <c r="E17" s="159">
        <v>460428</v>
      </c>
      <c r="F17" s="159">
        <v>589218</v>
      </c>
      <c r="G17" s="159">
        <v>751850</v>
      </c>
      <c r="H17" s="159">
        <v>956919</v>
      </c>
      <c r="J17" s="160">
        <f t="shared" si="1"/>
        <v>3.0046241757684333E-2</v>
      </c>
      <c r="K17" s="160">
        <f t="shared" si="0"/>
        <v>4.0185272762032653E-2</v>
      </c>
      <c r="L17" s="160">
        <f t="shared" si="0"/>
        <v>5.0350594033074625E-2</v>
      </c>
      <c r="M17" s="160">
        <f t="shared" si="0"/>
        <v>6.048912728372513E-2</v>
      </c>
      <c r="N17" s="160">
        <f t="shared" si="0"/>
        <v>7.0596946102462477E-2</v>
      </c>
      <c r="O17" s="160">
        <f t="shared" si="0"/>
        <v>8.0680596932193094E-2</v>
      </c>
      <c r="P17" s="160">
        <f t="shared" si="0"/>
        <v>9.0751875412963479E-2</v>
      </c>
    </row>
    <row r="18" spans="1:16">
      <c r="A18" s="150">
        <v>27</v>
      </c>
      <c r="B18" s="159">
        <v>222692</v>
      </c>
      <c r="C18" s="159">
        <v>290080</v>
      </c>
      <c r="D18" s="159">
        <v>377324</v>
      </c>
      <c r="E18" s="159">
        <v>489000</v>
      </c>
      <c r="F18" s="159">
        <v>631695</v>
      </c>
      <c r="G18" s="159">
        <v>813592</v>
      </c>
      <c r="H18" s="159">
        <v>1045098</v>
      </c>
      <c r="J18" s="160">
        <f t="shared" si="1"/>
        <v>3.0096588175621442E-2</v>
      </c>
      <c r="K18" s="160">
        <f t="shared" si="0"/>
        <v>4.0232188808351887E-2</v>
      </c>
      <c r="L18" s="160">
        <f t="shared" si="0"/>
        <v>5.0412288220804014E-2</v>
      </c>
      <c r="M18" s="160">
        <f t="shared" si="0"/>
        <v>6.054709266105518E-2</v>
      </c>
      <c r="N18" s="160">
        <f t="shared" si="0"/>
        <v>7.0652224521288387E-2</v>
      </c>
      <c r="O18" s="160">
        <f t="shared" si="0"/>
        <v>8.0733877835387879E-2</v>
      </c>
      <c r="P18" s="160">
        <f t="shared" si="0"/>
        <v>9.0803583898252827E-2</v>
      </c>
    </row>
    <row r="19" spans="1:16">
      <c r="A19" s="150">
        <v>28</v>
      </c>
      <c r="B19" s="159">
        <v>229688</v>
      </c>
      <c r="C19" s="159">
        <v>302131</v>
      </c>
      <c r="D19" s="159">
        <v>396953</v>
      </c>
      <c r="E19" s="159">
        <v>519348</v>
      </c>
      <c r="F19" s="159">
        <v>677236</v>
      </c>
      <c r="G19" s="159">
        <v>880408</v>
      </c>
      <c r="H19" s="159">
        <v>1141407</v>
      </c>
      <c r="J19" s="160">
        <f t="shared" si="1"/>
        <v>3.0143666234548228E-2</v>
      </c>
      <c r="K19" s="160">
        <f t="shared" si="1"/>
        <v>4.0279000475253568E-2</v>
      </c>
      <c r="L19" s="160">
        <f t="shared" si="1"/>
        <v>5.0469721398380019E-2</v>
      </c>
      <c r="M19" s="160">
        <f t="shared" si="1"/>
        <v>6.0601136074638129E-2</v>
      </c>
      <c r="N19" s="160">
        <f t="shared" si="1"/>
        <v>7.0703659422931553E-2</v>
      </c>
      <c r="O19" s="160">
        <f t="shared" si="1"/>
        <v>8.0783519308068152E-2</v>
      </c>
      <c r="P19" s="160">
        <f t="shared" si="1"/>
        <v>9.0851751476008324E-2</v>
      </c>
    </row>
    <row r="20" spans="1:16">
      <c r="A20" s="150">
        <v>29</v>
      </c>
      <c r="B20" s="159">
        <v>236903</v>
      </c>
      <c r="C20" s="159">
        <v>314815</v>
      </c>
      <c r="D20" s="159">
        <v>417605</v>
      </c>
      <c r="E20" s="159">
        <v>551580</v>
      </c>
      <c r="F20" s="159">
        <v>726063</v>
      </c>
      <c r="G20" s="159">
        <v>952713</v>
      </c>
      <c r="H20" s="159">
        <v>1246593</v>
      </c>
      <c r="J20" s="160">
        <f t="shared" si="1"/>
        <v>3.0187381986483297E-2</v>
      </c>
      <c r="K20" s="160">
        <f t="shared" si="1"/>
        <v>4.0337670984431195E-2</v>
      </c>
      <c r="L20" s="160">
        <f t="shared" si="1"/>
        <v>5.0523358522183814E-2</v>
      </c>
      <c r="M20" s="160">
        <f t="shared" si="1"/>
        <v>6.0651492107566263E-2</v>
      </c>
      <c r="N20" s="160">
        <f t="shared" si="1"/>
        <v>7.0751691566439456E-2</v>
      </c>
      <c r="O20" s="160">
        <f t="shared" si="1"/>
        <v>8.0829807973449741E-2</v>
      </c>
      <c r="P20" s="160">
        <f t="shared" si="1"/>
        <v>9.0896654255145037E-2</v>
      </c>
    </row>
    <row r="21" spans="1:16">
      <c r="A21" s="150">
        <v>30</v>
      </c>
      <c r="B21" s="159">
        <v>244347</v>
      </c>
      <c r="C21" s="159">
        <v>328033</v>
      </c>
      <c r="D21" s="159">
        <v>439332</v>
      </c>
      <c r="E21" s="159">
        <v>585815</v>
      </c>
      <c r="F21" s="159">
        <v>778412</v>
      </c>
      <c r="G21" s="159">
        <v>1030959</v>
      </c>
      <c r="H21" s="159">
        <v>1361476</v>
      </c>
      <c r="J21" s="160">
        <f t="shared" si="1"/>
        <v>3.0228516869866162E-2</v>
      </c>
      <c r="K21" s="160">
        <f t="shared" si="1"/>
        <v>4.0392592008010375E-2</v>
      </c>
      <c r="L21" s="160">
        <f t="shared" si="1"/>
        <v>5.0573466359355335E-2</v>
      </c>
      <c r="M21" s="160">
        <f t="shared" si="1"/>
        <v>6.0698650373531615E-2</v>
      </c>
      <c r="N21" s="160">
        <f t="shared" si="1"/>
        <v>7.0796601324796038E-2</v>
      </c>
      <c r="O21" s="160">
        <f t="shared" si="1"/>
        <v>8.0873111391216668E-2</v>
      </c>
      <c r="P21" s="160">
        <f t="shared" si="1"/>
        <v>9.0938661806771792E-2</v>
      </c>
    </row>
    <row r="22" spans="1:16">
      <c r="A22" s="150">
        <v>31</v>
      </c>
      <c r="B22" s="159">
        <v>252025</v>
      </c>
      <c r="C22" s="159">
        <v>341808</v>
      </c>
      <c r="D22" s="159">
        <v>462192</v>
      </c>
      <c r="E22" s="159">
        <v>622177</v>
      </c>
      <c r="F22" s="159">
        <v>834538</v>
      </c>
      <c r="G22" s="159">
        <v>1115634</v>
      </c>
      <c r="H22" s="159">
        <v>1486948</v>
      </c>
      <c r="J22" s="160">
        <f t="shared" si="1"/>
        <v>3.0267011715237047E-2</v>
      </c>
      <c r="K22" s="160">
        <f t="shared" si="1"/>
        <v>4.0444170869816665E-2</v>
      </c>
      <c r="L22" s="160">
        <f t="shared" si="1"/>
        <v>5.0620533923775302E-2</v>
      </c>
      <c r="M22" s="160">
        <f t="shared" si="1"/>
        <v>6.0742885268287861E-2</v>
      </c>
      <c r="N22" s="160">
        <f t="shared" si="1"/>
        <v>7.0838724964284339E-2</v>
      </c>
      <c r="O22" s="160">
        <f t="shared" si="1"/>
        <v>8.091370644052498E-2</v>
      </c>
      <c r="P22" s="160">
        <f t="shared" si="1"/>
        <v>9.0977999951452171E-2</v>
      </c>
    </row>
    <row r="23" spans="1:16">
      <c r="A23" s="150">
        <v>32</v>
      </c>
      <c r="B23" s="159">
        <v>259946</v>
      </c>
      <c r="C23" s="159">
        <v>356161</v>
      </c>
      <c r="D23" s="159">
        <v>486243</v>
      </c>
      <c r="E23" s="159">
        <v>660797</v>
      </c>
      <c r="F23" s="159">
        <v>894712</v>
      </c>
      <c r="G23" s="159">
        <v>1207266</v>
      </c>
      <c r="H23" s="159">
        <v>1623987</v>
      </c>
      <c r="J23" s="160">
        <f t="shared" si="1"/>
        <v>3.0303317189626089E-2</v>
      </c>
      <c r="K23" s="160">
        <f t="shared" si="1"/>
        <v>4.0492487310575864E-2</v>
      </c>
      <c r="L23" s="160">
        <f t="shared" si="1"/>
        <v>5.0664763860930329E-2</v>
      </c>
      <c r="M23" s="160">
        <f t="shared" si="1"/>
        <v>6.0784406416737324E-2</v>
      </c>
      <c r="N23" s="160">
        <f t="shared" si="1"/>
        <v>7.0878259853080161E-2</v>
      </c>
      <c r="O23" s="160">
        <f t="shared" si="1"/>
        <v>8.0951834243739418E-2</v>
      </c>
      <c r="P23" s="160">
        <f t="shared" si="1"/>
        <v>9.1014957390191276E-2</v>
      </c>
    </row>
    <row r="24" spans="1:16">
      <c r="A24" s="150">
        <v>33</v>
      </c>
      <c r="B24" s="159">
        <v>268116</v>
      </c>
      <c r="C24" s="159">
        <v>371119</v>
      </c>
      <c r="D24" s="159">
        <v>511547</v>
      </c>
      <c r="E24" s="159">
        <v>701817</v>
      </c>
      <c r="F24" s="159">
        <v>959228</v>
      </c>
      <c r="G24" s="159">
        <v>1306427</v>
      </c>
      <c r="H24" s="159">
        <v>1773659</v>
      </c>
      <c r="J24" s="160">
        <f t="shared" si="1"/>
        <v>3.0337429034979602E-2</v>
      </c>
      <c r="K24" s="160">
        <f t="shared" si="1"/>
        <v>4.0538072711489237E-2</v>
      </c>
      <c r="L24" s="160">
        <f t="shared" si="1"/>
        <v>5.0706405923299558E-2</v>
      </c>
      <c r="M24" s="160">
        <f t="shared" si="1"/>
        <v>6.0823539267254256E-2</v>
      </c>
      <c r="N24" s="160">
        <f t="shared" si="1"/>
        <v>7.091550759700338E-2</v>
      </c>
      <c r="O24" s="160">
        <f t="shared" si="1"/>
        <v>8.0987724078249501E-2</v>
      </c>
      <c r="P24" s="160">
        <f t="shared" si="1"/>
        <v>9.1049737884857818E-2</v>
      </c>
    </row>
    <row r="25" spans="1:16">
      <c r="A25" s="150">
        <v>34</v>
      </c>
      <c r="B25" s="159">
        <v>276544</v>
      </c>
      <c r="C25" s="159">
        <v>386706</v>
      </c>
      <c r="D25" s="159">
        <v>538169</v>
      </c>
      <c r="E25" s="159">
        <v>745384</v>
      </c>
      <c r="F25" s="159">
        <v>1028398</v>
      </c>
      <c r="G25" s="159">
        <v>1413735</v>
      </c>
      <c r="H25" s="159">
        <v>1937127</v>
      </c>
      <c r="J25" s="160">
        <f t="shared" si="1"/>
        <v>3.036966904078775E-2</v>
      </c>
      <c r="K25" s="160">
        <f t="shared" si="1"/>
        <v>4.0581041441220655E-2</v>
      </c>
      <c r="L25" s="160">
        <f t="shared" si="1"/>
        <v>5.074566796865132E-2</v>
      </c>
      <c r="M25" s="160">
        <f t="shared" si="1"/>
        <v>6.0860397448786907E-2</v>
      </c>
      <c r="N25" s="160">
        <f t="shared" si="1"/>
        <v>7.0950622834547339E-2</v>
      </c>
      <c r="O25" s="160">
        <f t="shared" si="1"/>
        <v>8.1021553986649453E-2</v>
      </c>
      <c r="P25" s="160">
        <f t="shared" si="1"/>
        <v>9.1082502217538108E-2</v>
      </c>
    </row>
    <row r="26" spans="1:16">
      <c r="A26" s="150">
        <v>35</v>
      </c>
      <c r="B26" s="159">
        <v>285238</v>
      </c>
      <c r="C26" s="159">
        <v>402950</v>
      </c>
      <c r="D26" s="159">
        <v>566179</v>
      </c>
      <c r="E26" s="159">
        <v>791659</v>
      </c>
      <c r="F26" s="159">
        <v>1102558</v>
      </c>
      <c r="G26" s="159">
        <v>1529859</v>
      </c>
      <c r="H26" s="159">
        <v>2115665</v>
      </c>
      <c r="J26" s="160">
        <f t="shared" si="1"/>
        <v>3.0400178424956348E-2</v>
      </c>
      <c r="K26" s="160">
        <f t="shared" si="1"/>
        <v>4.0621729536290285E-2</v>
      </c>
      <c r="L26" s="160">
        <f t="shared" si="1"/>
        <v>5.0782822190724941E-2</v>
      </c>
      <c r="M26" s="160">
        <f t="shared" si="1"/>
        <v>6.0895283571810177E-2</v>
      </c>
      <c r="N26" s="160">
        <f t="shared" si="1"/>
        <v>7.0983792109334587E-2</v>
      </c>
      <c r="O26" s="160">
        <f t="shared" si="1"/>
        <v>8.1053489644735466E-2</v>
      </c>
      <c r="P26" s="160">
        <f t="shared" si="1"/>
        <v>9.111345546937577E-2</v>
      </c>
    </row>
    <row r="27" spans="1:16">
      <c r="A27" s="150">
        <v>36</v>
      </c>
      <c r="B27" s="159">
        <v>294206</v>
      </c>
      <c r="C27" s="159">
        <v>419876</v>
      </c>
      <c r="D27" s="159">
        <v>595647</v>
      </c>
      <c r="E27" s="159">
        <v>840808</v>
      </c>
      <c r="F27" s="159">
        <v>1182068</v>
      </c>
      <c r="G27" s="159">
        <v>1655525</v>
      </c>
      <c r="H27" s="159">
        <v>2310660</v>
      </c>
      <c r="J27" s="160">
        <f t="shared" si="1"/>
        <v>3.0429059607872677E-2</v>
      </c>
      <c r="K27" s="160">
        <f t="shared" si="1"/>
        <v>4.0660134778003565E-2</v>
      </c>
      <c r="L27" s="160">
        <f t="shared" si="1"/>
        <v>5.0817921718369963E-2</v>
      </c>
      <c r="M27" s="160">
        <f t="shared" si="1"/>
        <v>6.0928272975269593E-2</v>
      </c>
      <c r="N27" s="160">
        <f t="shared" si="1"/>
        <v>7.1015174010859106E-2</v>
      </c>
      <c r="O27" s="160">
        <f t="shared" si="1"/>
        <v>8.1083717094909025E-2</v>
      </c>
      <c r="P27" s="160">
        <f t="shared" si="1"/>
        <v>9.1142713478042703E-2</v>
      </c>
    </row>
    <row r="28" spans="1:16">
      <c r="A28" s="150">
        <v>37</v>
      </c>
      <c r="B28" s="159">
        <v>303507</v>
      </c>
      <c r="C28" s="159">
        <v>437515</v>
      </c>
      <c r="D28" s="159">
        <v>626651</v>
      </c>
      <c r="E28" s="159">
        <v>893010</v>
      </c>
      <c r="F28" s="159">
        <v>1267314</v>
      </c>
      <c r="G28" s="159">
        <v>1791515</v>
      </c>
      <c r="H28" s="159">
        <v>2523630</v>
      </c>
      <c r="J28" s="160">
        <f t="shared" si="1"/>
        <v>3.0461064507555369E-2</v>
      </c>
      <c r="K28" s="160">
        <f t="shared" si="1"/>
        <v>4.0696595213592923E-2</v>
      </c>
      <c r="L28" s="160">
        <f t="shared" si="1"/>
        <v>5.0851228151202577E-2</v>
      </c>
      <c r="M28" s="160">
        <f t="shared" si="1"/>
        <v>6.0959533275553035E-2</v>
      </c>
      <c r="N28" s="160">
        <f t="shared" si="1"/>
        <v>7.1044910834921815E-2</v>
      </c>
      <c r="O28" s="160">
        <f t="shared" si="1"/>
        <v>8.1112336148347897E-2</v>
      </c>
      <c r="P28" s="160">
        <f t="shared" si="1"/>
        <v>9.1170423992719574E-2</v>
      </c>
    </row>
    <row r="29" spans="1:16">
      <c r="A29" s="150">
        <v>38</v>
      </c>
      <c r="B29" s="159">
        <v>313208</v>
      </c>
      <c r="C29" s="159">
        <v>455896</v>
      </c>
      <c r="D29" s="159">
        <v>659270</v>
      </c>
      <c r="E29" s="159">
        <v>948454</v>
      </c>
      <c r="F29" s="159">
        <v>1358710</v>
      </c>
      <c r="G29" s="159">
        <v>1938678</v>
      </c>
      <c r="H29" s="159">
        <v>2756232</v>
      </c>
      <c r="J29" s="160">
        <f t="shared" si="1"/>
        <v>3.0500561604977161E-2</v>
      </c>
      <c r="K29" s="160">
        <f t="shared" si="1"/>
        <v>4.0731197043869516E-2</v>
      </c>
      <c r="L29" s="160">
        <f t="shared" si="1"/>
        <v>5.0882833425768492E-2</v>
      </c>
      <c r="M29" s="160">
        <f t="shared" si="1"/>
        <v>6.0989178932179255E-2</v>
      </c>
      <c r="N29" s="160">
        <f t="shared" si="1"/>
        <v>7.1073133124742949E-2</v>
      </c>
      <c r="O29" s="160">
        <f t="shared" si="1"/>
        <v>8.1139484212866098E-2</v>
      </c>
      <c r="P29" s="160">
        <f t="shared" si="1"/>
        <v>9.1196706720445109E-2</v>
      </c>
    </row>
    <row r="30" spans="1:16">
      <c r="A30" s="150">
        <v>39</v>
      </c>
      <c r="B30" s="159">
        <v>323220</v>
      </c>
      <c r="C30" s="159">
        <v>475051</v>
      </c>
      <c r="D30" s="159">
        <v>693589</v>
      </c>
      <c r="E30" s="159">
        <v>1007343</v>
      </c>
      <c r="F30" s="159">
        <v>1456699</v>
      </c>
      <c r="G30" s="159">
        <v>2097933</v>
      </c>
      <c r="H30" s="159">
        <v>3010276</v>
      </c>
      <c r="J30" s="160">
        <f t="shared" si="1"/>
        <v>3.0538110374170424E-2</v>
      </c>
      <c r="K30" s="160">
        <f t="shared" si="1"/>
        <v>4.0764125050217981E-2</v>
      </c>
      <c r="L30" s="160">
        <f t="shared" si="1"/>
        <v>5.0912899859978156E-2</v>
      </c>
      <c r="M30" s="160">
        <f t="shared" si="1"/>
        <v>6.1017377112761784E-2</v>
      </c>
      <c r="N30" s="160">
        <f t="shared" si="1"/>
        <v>7.1099941123392352E-2</v>
      </c>
      <c r="O30" s="160">
        <f t="shared" si="1"/>
        <v>8.1165285329378056E-2</v>
      </c>
      <c r="P30" s="160">
        <f t="shared" si="1"/>
        <v>9.1221671607465193E-2</v>
      </c>
    </row>
    <row r="31" spans="1:16">
      <c r="A31" s="150">
        <v>40</v>
      </c>
      <c r="B31" s="159">
        <v>333552</v>
      </c>
      <c r="C31" s="159">
        <v>495012</v>
      </c>
      <c r="D31" s="159">
        <v>729696</v>
      </c>
      <c r="E31" s="159">
        <v>1069891</v>
      </c>
      <c r="F31" s="159">
        <v>1561757</v>
      </c>
      <c r="G31" s="159">
        <v>2270272</v>
      </c>
      <c r="H31" s="159">
        <v>3287738</v>
      </c>
      <c r="J31" s="160">
        <f t="shared" si="1"/>
        <v>3.0573779622137032E-2</v>
      </c>
      <c r="K31" s="160">
        <f t="shared" si="1"/>
        <v>4.0795469669342221E-2</v>
      </c>
      <c r="L31" s="160">
        <f t="shared" si="1"/>
        <v>5.0941517346735132E-2</v>
      </c>
      <c r="M31" s="160">
        <f t="shared" si="1"/>
        <v>6.1044230877889349E-2</v>
      </c>
      <c r="N31" s="160">
        <f t="shared" si="1"/>
        <v>7.11254456481063E-2</v>
      </c>
      <c r="O31" s="160">
        <f t="shared" si="1"/>
        <v>8.1189818503535349E-2</v>
      </c>
      <c r="P31" s="160">
        <f t="shared" si="1"/>
        <v>9.1245410115243564E-2</v>
      </c>
    </row>
    <row r="32" spans="1:16">
      <c r="A32" s="150">
        <v>41</v>
      </c>
      <c r="B32" s="159">
        <v>344216</v>
      </c>
      <c r="C32" s="159">
        <v>515812</v>
      </c>
      <c r="D32" s="159">
        <v>767683</v>
      </c>
      <c r="E32" s="159">
        <v>1136323</v>
      </c>
      <c r="F32" s="159">
        <v>1674394</v>
      </c>
      <c r="G32" s="159">
        <v>2456771</v>
      </c>
      <c r="H32" s="159">
        <v>3590777</v>
      </c>
      <c r="J32" s="160">
        <f t="shared" si="1"/>
        <v>3.0607836307982916E-2</v>
      </c>
      <c r="K32" s="160">
        <f t="shared" si="1"/>
        <v>4.0825299240153212E-2</v>
      </c>
      <c r="L32" s="160">
        <f t="shared" si="1"/>
        <v>5.0968750744395885E-2</v>
      </c>
      <c r="M32" s="160">
        <f t="shared" si="1"/>
        <v>6.1069781391112743E-2</v>
      </c>
      <c r="N32" s="160">
        <f t="shared" si="1"/>
        <v>7.1149740228897196E-2</v>
      </c>
      <c r="O32" s="160">
        <f t="shared" si="1"/>
        <v>8.1213186154838413E-2</v>
      </c>
      <c r="P32" s="160">
        <f t="shared" si="1"/>
        <v>9.1268012469604365E-2</v>
      </c>
    </row>
    <row r="33" spans="1:16">
      <c r="A33" s="150">
        <v>42</v>
      </c>
      <c r="B33" s="159">
        <v>355222</v>
      </c>
      <c r="C33" s="159">
        <v>537487</v>
      </c>
      <c r="D33" s="159">
        <v>807650</v>
      </c>
      <c r="E33" s="159">
        <v>1206883</v>
      </c>
      <c r="F33" s="159">
        <v>1795157</v>
      </c>
      <c r="G33" s="159">
        <v>2658593</v>
      </c>
      <c r="H33" s="159">
        <v>3921750</v>
      </c>
      <c r="J33" s="160">
        <f t="shared" si="1"/>
        <v>3.064034558595119E-2</v>
      </c>
      <c r="K33" s="160">
        <f t="shared" si="1"/>
        <v>4.0853755303130734E-2</v>
      </c>
      <c r="L33" s="160">
        <f t="shared" si="1"/>
        <v>5.0994763800656706E-2</v>
      </c>
      <c r="M33" s="160">
        <f t="shared" si="1"/>
        <v>6.1094180341546567E-2</v>
      </c>
      <c r="N33" s="160">
        <f t="shared" si="1"/>
        <v>7.1172912492559304E-2</v>
      </c>
      <c r="O33" s="160">
        <f t="shared" si="1"/>
        <v>8.1235464992738704E-2</v>
      </c>
      <c r="P33" s="160">
        <f t="shared" si="1"/>
        <v>9.128955313898901E-2</v>
      </c>
    </row>
    <row r="34" spans="1:16">
      <c r="A34" s="150">
        <v>43</v>
      </c>
      <c r="B34" s="159">
        <v>366580</v>
      </c>
      <c r="C34" s="159">
        <v>560075</v>
      </c>
      <c r="D34" s="159">
        <v>849699</v>
      </c>
      <c r="E34" s="159">
        <v>1281826</v>
      </c>
      <c r="F34" s="159">
        <v>1924631</v>
      </c>
      <c r="G34" s="159">
        <v>2876996</v>
      </c>
      <c r="H34" s="159">
        <v>4283233</v>
      </c>
      <c r="J34" s="160">
        <f t="shared" si="1"/>
        <v>3.0671349837327444E-2</v>
      </c>
      <c r="K34" s="160">
        <f t="shared" si="1"/>
        <v>4.0880983297586493E-2</v>
      </c>
      <c r="L34" s="160">
        <f t="shared" si="1"/>
        <v>5.1019603328686269E-2</v>
      </c>
      <c r="M34" s="160">
        <f t="shared" si="1"/>
        <v>6.1117475307593372E-2</v>
      </c>
      <c r="N34" s="160">
        <f t="shared" si="1"/>
        <v>7.1195022470760705E-2</v>
      </c>
      <c r="O34" s="160">
        <f t="shared" si="1"/>
        <v>8.1256720841446306E-2</v>
      </c>
      <c r="P34" s="160">
        <f t="shared" si="1"/>
        <v>9.131011125556765E-2</v>
      </c>
    </row>
    <row r="35" spans="1:16">
      <c r="A35" s="150">
        <v>44</v>
      </c>
      <c r="B35" s="159">
        <v>378302</v>
      </c>
      <c r="C35" s="159">
        <v>583613</v>
      </c>
      <c r="D35" s="159">
        <v>893939</v>
      </c>
      <c r="E35" s="159">
        <v>1361424</v>
      </c>
      <c r="F35" s="159">
        <v>2063446</v>
      </c>
      <c r="G35" s="159">
        <v>3113344</v>
      </c>
      <c r="H35" s="159">
        <v>4678038</v>
      </c>
      <c r="J35" s="160">
        <f t="shared" si="1"/>
        <v>3.070099738496701E-2</v>
      </c>
      <c r="K35" s="160">
        <f t="shared" si="1"/>
        <v>4.0907004102811673E-2</v>
      </c>
      <c r="L35" s="160">
        <f t="shared" si="1"/>
        <v>5.1043362068931897E-2</v>
      </c>
      <c r="M35" s="160">
        <f t="shared" si="1"/>
        <v>6.1139735184019273E-2</v>
      </c>
      <c r="N35" s="160">
        <f t="shared" si="1"/>
        <v>7.1216161032919389E-2</v>
      </c>
      <c r="O35" s="160">
        <f t="shared" si="1"/>
        <v>8.1277036381664614E-2</v>
      </c>
      <c r="P35" s="160">
        <f t="shared" si="1"/>
        <v>9.1329749596393395E-2</v>
      </c>
    </row>
    <row r="36" spans="1:16">
      <c r="A36" s="150">
        <v>45</v>
      </c>
      <c r="B36" s="159">
        <v>390400</v>
      </c>
      <c r="C36" s="159">
        <v>608141</v>
      </c>
      <c r="D36" s="159">
        <v>940483</v>
      </c>
      <c r="E36" s="159">
        <v>1445966</v>
      </c>
      <c r="F36" s="159">
        <v>2212276</v>
      </c>
      <c r="G36" s="159">
        <v>3369111</v>
      </c>
      <c r="H36" s="159">
        <v>5109237</v>
      </c>
      <c r="J36" s="160">
        <f t="shared" si="1"/>
        <v>3.0729396689197719E-2</v>
      </c>
      <c r="K36" s="160">
        <f t="shared" si="1"/>
        <v>4.0931898700833136E-2</v>
      </c>
      <c r="L36" s="160">
        <f t="shared" si="1"/>
        <v>5.1066080825628912E-2</v>
      </c>
      <c r="M36" s="160">
        <f t="shared" si="1"/>
        <v>6.1161025331174734E-2</v>
      </c>
      <c r="N36" s="160">
        <f t="shared" si="1"/>
        <v>7.1236391664107002E-2</v>
      </c>
      <c r="O36" s="160">
        <f t="shared" si="1"/>
        <v>8.1296469218057998E-2</v>
      </c>
      <c r="P36" s="160">
        <f t="shared" si="1"/>
        <v>9.1348529852131932E-2</v>
      </c>
    </row>
    <row r="37" spans="1:16">
      <c r="A37" s="150">
        <v>46</v>
      </c>
      <c r="B37" s="159">
        <v>402886</v>
      </c>
      <c r="C37" s="159">
        <v>633701</v>
      </c>
      <c r="D37" s="159">
        <v>989453</v>
      </c>
      <c r="E37" s="159">
        <v>1535761</v>
      </c>
      <c r="F37" s="159">
        <v>2371842</v>
      </c>
      <c r="G37" s="159">
        <v>3645891</v>
      </c>
      <c r="H37" s="159">
        <v>5580184</v>
      </c>
      <c r="J37" s="160">
        <f t="shared" si="1"/>
        <v>3.0756623658984905E-2</v>
      </c>
      <c r="K37" s="160">
        <f t="shared" si="1"/>
        <v>4.0955752223000852E-2</v>
      </c>
      <c r="L37" s="160">
        <f t="shared" si="1"/>
        <v>5.10878730315798E-2</v>
      </c>
      <c r="M37" s="160">
        <f t="shared" si="1"/>
        <v>6.1181436676301937E-2</v>
      </c>
      <c r="N37" s="160">
        <f t="shared" si="1"/>
        <v>7.1255756323368891E-2</v>
      </c>
      <c r="O37" s="160">
        <f t="shared" si="1"/>
        <v>8.1315065633063233E-2</v>
      </c>
      <c r="P37" s="160">
        <f t="shared" si="1"/>
        <v>9.1366503035920088E-2</v>
      </c>
    </row>
    <row r="38" spans="1:16">
      <c r="A38" s="150">
        <v>47</v>
      </c>
      <c r="B38" s="159">
        <v>415771</v>
      </c>
      <c r="C38" s="159">
        <v>660337</v>
      </c>
      <c r="D38" s="159">
        <v>1040973</v>
      </c>
      <c r="E38" s="159">
        <v>1631133</v>
      </c>
      <c r="F38" s="159">
        <v>2542918</v>
      </c>
      <c r="G38" s="159">
        <v>3945412</v>
      </c>
      <c r="H38" s="159">
        <v>6094544</v>
      </c>
      <c r="J38" s="160">
        <f t="shared" si="1"/>
        <v>3.0782675062724252E-2</v>
      </c>
      <c r="K38" s="160">
        <f t="shared" si="1"/>
        <v>4.0978648911053961E-2</v>
      </c>
      <c r="L38" s="160">
        <f t="shared" si="1"/>
        <v>5.1108742233512583E-2</v>
      </c>
      <c r="M38" s="160">
        <f t="shared" si="1"/>
        <v>6.1200989493701785E-2</v>
      </c>
      <c r="N38" s="160">
        <f t="shared" si="1"/>
        <v>7.1274305338907773E-2</v>
      </c>
      <c r="O38" s="160">
        <f t="shared" si="1"/>
        <v>8.1332887946859556E-2</v>
      </c>
      <c r="P38" s="160">
        <f t="shared" si="1"/>
        <v>9.1383723783277304E-2</v>
      </c>
    </row>
    <row r="39" spans="1:16">
      <c r="A39" s="150">
        <v>48</v>
      </c>
      <c r="B39" s="159">
        <v>429070</v>
      </c>
      <c r="C39" s="159">
        <v>688093</v>
      </c>
      <c r="D39" s="159">
        <v>1095177</v>
      </c>
      <c r="E39" s="159">
        <v>1732429</v>
      </c>
      <c r="F39" s="159">
        <v>2726337</v>
      </c>
      <c r="G39" s="159">
        <v>4269543</v>
      </c>
      <c r="H39" s="159">
        <v>6656318</v>
      </c>
      <c r="J39" s="160">
        <f t="shared" si="1"/>
        <v>3.0807737462537066E-2</v>
      </c>
      <c r="K39" s="160">
        <f t="shared" si="1"/>
        <v>4.1000605403543666E-2</v>
      </c>
      <c r="L39" s="160">
        <f t="shared" si="1"/>
        <v>5.1128770191344541E-2</v>
      </c>
      <c r="M39" s="160">
        <f t="shared" si="1"/>
        <v>6.1219744815299126E-2</v>
      </c>
      <c r="N39" s="160">
        <f t="shared" si="1"/>
        <v>7.1292111628432631E-2</v>
      </c>
      <c r="O39" s="160">
        <f t="shared" si="1"/>
        <v>8.1349986099941818E-2</v>
      </c>
      <c r="P39" s="160">
        <f t="shared" si="1"/>
        <v>9.1400234988774143E-2</v>
      </c>
    </row>
    <row r="40" spans="1:16">
      <c r="A40" s="150">
        <v>49</v>
      </c>
      <c r="B40" s="159">
        <v>442794</v>
      </c>
      <c r="C40" s="159">
        <v>717017</v>
      </c>
      <c r="D40" s="159">
        <v>1152205</v>
      </c>
      <c r="E40" s="159">
        <v>1840019</v>
      </c>
      <c r="F40" s="159">
        <v>2922987</v>
      </c>
      <c r="G40" s="159">
        <v>4620303</v>
      </c>
      <c r="H40" s="159">
        <v>7269877</v>
      </c>
      <c r="J40" s="160">
        <f t="shared" si="1"/>
        <v>3.0831759113518098E-2</v>
      </c>
      <c r="K40" s="160">
        <f t="shared" si="1"/>
        <v>4.1021705548432541E-2</v>
      </c>
      <c r="L40" s="160">
        <f t="shared" si="1"/>
        <v>5.1148010267268784E-2</v>
      </c>
      <c r="M40" s="160">
        <f t="shared" si="1"/>
        <v>6.1237774408066104E-2</v>
      </c>
      <c r="N40" s="160">
        <f t="shared" si="1"/>
        <v>7.1309199699157055E-2</v>
      </c>
      <c r="O40" s="160">
        <f t="shared" si="1"/>
        <v>8.1366388404086942E-2</v>
      </c>
      <c r="P40" s="160">
        <f t="shared" si="1"/>
        <v>9.1416080512543907E-2</v>
      </c>
    </row>
    <row r="41" spans="1:16">
      <c r="A41" s="150">
        <v>50</v>
      </c>
      <c r="B41" s="159">
        <v>456959</v>
      </c>
      <c r="C41" s="159">
        <v>747157</v>
      </c>
      <c r="D41" s="159">
        <v>1212205</v>
      </c>
      <c r="E41" s="159">
        <v>1954291</v>
      </c>
      <c r="F41" s="159">
        <v>3133824</v>
      </c>
      <c r="G41" s="159">
        <v>4999883</v>
      </c>
      <c r="H41" s="159">
        <v>7939996</v>
      </c>
      <c r="J41" s="160">
        <f t="shared" si="1"/>
        <v>3.0854912086655251E-2</v>
      </c>
      <c r="K41" s="160">
        <f t="shared" si="1"/>
        <v>4.1041967083842668E-2</v>
      </c>
      <c r="L41" s="160">
        <f t="shared" si="1"/>
        <v>5.1166523404843289E-2</v>
      </c>
      <c r="M41" s="160">
        <f t="shared" si="1"/>
        <v>6.1255086130004743E-2</v>
      </c>
      <c r="N41" s="160">
        <f t="shared" si="1"/>
        <v>7.1325622862079552E-2</v>
      </c>
      <c r="O41" s="160">
        <f t="shared" si="1"/>
        <v>8.1382150707407064E-2</v>
      </c>
      <c r="P41" s="160">
        <f t="shared" si="1"/>
        <v>9.1431303459293289E-2</v>
      </c>
    </row>
    <row r="42" spans="1:16">
      <c r="A42" s="150">
        <v>51</v>
      </c>
      <c r="B42" s="159">
        <v>471577</v>
      </c>
      <c r="C42" s="159">
        <v>778566</v>
      </c>
      <c r="D42" s="159">
        <v>1275330</v>
      </c>
      <c r="E42" s="159">
        <v>2075662</v>
      </c>
      <c r="F42" s="159">
        <v>3359871</v>
      </c>
      <c r="G42" s="159">
        <v>5410650</v>
      </c>
      <c r="H42" s="159">
        <v>8671886</v>
      </c>
      <c r="J42" s="160">
        <f t="shared" si="1"/>
        <v>3.0877151632440203E-2</v>
      </c>
      <c r="K42" s="160">
        <f t="shared" si="1"/>
        <v>4.10614883551077E-2</v>
      </c>
      <c r="L42" s="160">
        <f t="shared" si="1"/>
        <v>5.1184319830026803E-2</v>
      </c>
      <c r="M42" s="160">
        <f t="shared" si="1"/>
        <v>6.1271742137315677E-2</v>
      </c>
      <c r="N42" s="160">
        <f t="shared" si="1"/>
        <v>7.1341415888320547E-2</v>
      </c>
      <c r="O42" s="160">
        <f t="shared" si="1"/>
        <v>8.1397305626458971E-2</v>
      </c>
      <c r="P42" s="160">
        <f t="shared" si="1"/>
        <v>9.1445932376707173E-2</v>
      </c>
    </row>
    <row r="43" spans="1:16">
      <c r="A43" s="150">
        <v>52</v>
      </c>
      <c r="B43" s="159">
        <v>486663</v>
      </c>
      <c r="C43" s="159">
        <v>811296</v>
      </c>
      <c r="D43" s="159">
        <v>1341743</v>
      </c>
      <c r="E43" s="159">
        <v>2204572</v>
      </c>
      <c r="F43" s="159">
        <v>3602224</v>
      </c>
      <c r="G43" s="159">
        <v>5855165</v>
      </c>
      <c r="H43" s="159">
        <v>9471244</v>
      </c>
      <c r="J43" s="160">
        <f t="shared" si="1"/>
        <v>3.0898551497715809E-2</v>
      </c>
      <c r="K43" s="160">
        <f t="shared" si="1"/>
        <v>4.1080274647688597E-2</v>
      </c>
      <c r="L43" s="160">
        <f t="shared" si="1"/>
        <v>5.1201444048200706E-2</v>
      </c>
      <c r="M43" s="160">
        <f t="shared" si="1"/>
        <v>6.1287769524580593E-2</v>
      </c>
      <c r="N43" s="160">
        <f t="shared" si="1"/>
        <v>7.1356606980785386E-2</v>
      </c>
      <c r="O43" s="160">
        <f t="shared" si="1"/>
        <v>8.1411882498227284E-2</v>
      </c>
      <c r="P43" s="160">
        <f t="shared" si="1"/>
        <v>9.1460007949165423E-2</v>
      </c>
    </row>
    <row r="44" spans="1:16">
      <c r="A44" s="150">
        <v>53</v>
      </c>
      <c r="B44" s="159">
        <v>502233</v>
      </c>
      <c r="C44" s="159">
        <v>845403</v>
      </c>
      <c r="D44" s="159">
        <v>1411617</v>
      </c>
      <c r="E44" s="159">
        <v>2341490</v>
      </c>
      <c r="F44" s="159">
        <v>3862061</v>
      </c>
      <c r="G44" s="159">
        <v>6336203</v>
      </c>
      <c r="H44" s="159">
        <v>10344287</v>
      </c>
      <c r="J44" s="160">
        <f t="shared" si="1"/>
        <v>3.0919198105799239E-2</v>
      </c>
      <c r="K44" s="160">
        <f t="shared" si="1"/>
        <v>4.1098377188213631E-2</v>
      </c>
      <c r="L44" s="160">
        <f t="shared" si="1"/>
        <v>5.1217957925108415E-2</v>
      </c>
      <c r="M44" s="160">
        <f t="shared" si="1"/>
        <v>6.1303209280352489E-2</v>
      </c>
      <c r="N44" s="160">
        <f t="shared" si="1"/>
        <v>7.137123906078302E-2</v>
      </c>
      <c r="O44" s="160">
        <f t="shared" si="1"/>
        <v>8.142592114115188E-2</v>
      </c>
      <c r="P44" s="160">
        <f t="shared" si="1"/>
        <v>9.1473555915843052E-2</v>
      </c>
    </row>
    <row r="45" spans="1:16">
      <c r="A45" s="150">
        <v>54</v>
      </c>
      <c r="B45" s="159">
        <v>518301</v>
      </c>
      <c r="C45" s="159">
        <v>880945</v>
      </c>
      <c r="D45" s="159">
        <v>1485130</v>
      </c>
      <c r="E45" s="159">
        <v>2486914</v>
      </c>
      <c r="F45" s="159">
        <v>4140643</v>
      </c>
      <c r="G45" s="159">
        <v>6856763</v>
      </c>
      <c r="H45" s="159">
        <v>11297809</v>
      </c>
      <c r="J45" s="160">
        <f t="shared" si="1"/>
        <v>3.0939075365132629E-2</v>
      </c>
      <c r="K45" s="160">
        <f t="shared" si="1"/>
        <v>4.1115834442029264E-2</v>
      </c>
      <c r="L45" s="160">
        <f t="shared" si="1"/>
        <v>5.1233862638842442E-2</v>
      </c>
      <c r="M45" s="160">
        <f t="shared" si="1"/>
        <v>6.1318097303884489E-2</v>
      </c>
      <c r="N45" s="160">
        <f t="shared" si="1"/>
        <v>7.1385340604035452E-2</v>
      </c>
      <c r="O45" s="160">
        <f t="shared" si="1"/>
        <v>8.1439445131380683E-2</v>
      </c>
      <c r="P45" s="160">
        <f t="shared" si="1"/>
        <v>9.1486608340960229E-2</v>
      </c>
    </row>
    <row r="46" spans="1:16">
      <c r="A46" s="150">
        <v>55</v>
      </c>
      <c r="B46" s="159">
        <v>534884</v>
      </c>
      <c r="C46" s="159">
        <v>917982</v>
      </c>
      <c r="D46" s="159">
        <v>1562473</v>
      </c>
      <c r="E46" s="159">
        <v>2641370</v>
      </c>
      <c r="F46" s="159">
        <v>4439322</v>
      </c>
      <c r="G46" s="159">
        <v>7420092</v>
      </c>
      <c r="H46" s="159">
        <v>12339228</v>
      </c>
      <c r="J46" s="160">
        <f t="shared" si="1"/>
        <v>3.0958262929062341E-2</v>
      </c>
      <c r="K46" s="160">
        <f t="shared" si="1"/>
        <v>4.1132672865144659E-2</v>
      </c>
      <c r="L46" s="160">
        <f t="shared" si="1"/>
        <v>5.1249209435392684E-2</v>
      </c>
      <c r="M46" s="160">
        <f t="shared" si="1"/>
        <v>6.133244475981714E-2</v>
      </c>
      <c r="N46" s="160">
        <f t="shared" si="1"/>
        <v>7.1398938525887301E-2</v>
      </c>
      <c r="O46" s="160">
        <f t="shared" si="1"/>
        <v>8.1452481829801915E-2</v>
      </c>
      <c r="P46" s="160">
        <f t="shared" si="1"/>
        <v>9.1499190569777289E-2</v>
      </c>
    </row>
    <row r="47" spans="1:16">
      <c r="A47" s="150">
        <v>56</v>
      </c>
      <c r="B47" s="159">
        <v>551998</v>
      </c>
      <c r="C47" s="159">
        <v>956577</v>
      </c>
      <c r="D47" s="159">
        <v>1643845</v>
      </c>
      <c r="E47" s="159">
        <v>2805421</v>
      </c>
      <c r="F47" s="159">
        <v>4759547</v>
      </c>
      <c r="G47" s="159">
        <v>8029706</v>
      </c>
      <c r="H47" s="159">
        <v>13476646</v>
      </c>
      <c r="J47" s="160">
        <f t="shared" si="1"/>
        <v>3.0976779842796898E-2</v>
      </c>
      <c r="K47" s="160">
        <f t="shared" si="1"/>
        <v>4.1148927226998033E-2</v>
      </c>
      <c r="L47" s="160">
        <f t="shared" si="1"/>
        <v>5.1264021025181794E-2</v>
      </c>
      <c r="M47" s="160">
        <f t="shared" si="1"/>
        <v>6.1346294344020835E-2</v>
      </c>
      <c r="N47" s="160">
        <f t="shared" si="1"/>
        <v>7.1412055969867883E-2</v>
      </c>
      <c r="O47" s="160">
        <f t="shared" si="1"/>
        <v>8.1465062099766783E-2</v>
      </c>
      <c r="P47" s="160">
        <f t="shared" si="1"/>
        <v>9.1511326749618593E-2</v>
      </c>
    </row>
    <row r="48" spans="1:16">
      <c r="A48" s="150">
        <v>57</v>
      </c>
      <c r="B48" s="159">
        <v>569661</v>
      </c>
      <c r="C48" s="159">
        <v>996795</v>
      </c>
      <c r="D48" s="159">
        <v>1729457</v>
      </c>
      <c r="E48" s="159">
        <v>2979663</v>
      </c>
      <c r="F48" s="159">
        <v>5102874</v>
      </c>
      <c r="G48" s="159">
        <v>8689405</v>
      </c>
      <c r="H48" s="159">
        <v>14718914</v>
      </c>
      <c r="J48" s="160">
        <f t="shared" si="1"/>
        <v>3.0994692608118601E-2</v>
      </c>
      <c r="K48" s="160">
        <f t="shared" si="1"/>
        <v>4.1164617704350537E-2</v>
      </c>
      <c r="L48" s="160">
        <f t="shared" si="1"/>
        <v>5.1278336881297903E-2</v>
      </c>
      <c r="M48" s="160">
        <f t="shared" si="1"/>
        <v>6.135967109308349E-2</v>
      </c>
      <c r="N48" s="160">
        <f t="shared" si="1"/>
        <v>7.1424724229778969E-2</v>
      </c>
      <c r="O48" s="160">
        <f t="shared" si="1"/>
        <v>8.1477202884285393E-2</v>
      </c>
      <c r="P48" s="160">
        <f t="shared" si="1"/>
        <v>9.1523042324306081E-2</v>
      </c>
    </row>
    <row r="49" spans="1:16">
      <c r="A49" s="150">
        <v>58</v>
      </c>
      <c r="B49" s="159">
        <v>587889</v>
      </c>
      <c r="C49" s="159">
        <v>1038706</v>
      </c>
      <c r="D49" s="159">
        <v>1819528</v>
      </c>
      <c r="E49" s="159">
        <v>3164729</v>
      </c>
      <c r="F49" s="159">
        <v>5470968</v>
      </c>
      <c r="G49" s="159">
        <v>9403307</v>
      </c>
      <c r="H49" s="159">
        <v>16075695</v>
      </c>
      <c r="J49" s="160">
        <f t="shared" si="1"/>
        <v>3.1011982361588641E-2</v>
      </c>
      <c r="K49" s="160">
        <f t="shared" si="1"/>
        <v>4.1179803440980711E-2</v>
      </c>
      <c r="L49" s="160">
        <f t="shared" si="1"/>
        <v>5.129216224349209E-2</v>
      </c>
      <c r="M49" s="160">
        <f t="shared" si="1"/>
        <v>6.1372598282064317E-2</v>
      </c>
      <c r="N49" s="160">
        <f t="shared" si="1"/>
        <v>7.1436960244539716E-2</v>
      </c>
      <c r="O49" s="160">
        <f t="shared" si="1"/>
        <v>8.1488932900684929E-2</v>
      </c>
      <c r="P49" s="160">
        <f t="shared" si="1"/>
        <v>9.1534355890169783E-2</v>
      </c>
    </row>
    <row r="50" spans="1:16">
      <c r="A50" s="150">
        <v>59</v>
      </c>
      <c r="B50" s="159">
        <v>606700</v>
      </c>
      <c r="C50" s="159">
        <v>1082379</v>
      </c>
      <c r="D50" s="159">
        <v>1914291</v>
      </c>
      <c r="E50" s="159">
        <v>3361290</v>
      </c>
      <c r="F50" s="159">
        <v>5865616</v>
      </c>
      <c r="G50" s="159">
        <v>10175863</v>
      </c>
      <c r="H50" s="159">
        <v>17557546</v>
      </c>
      <c r="J50" s="160">
        <f t="shared" si="1"/>
        <v>3.1028678833012524E-2</v>
      </c>
      <c r="K50" s="160">
        <f t="shared" si="1"/>
        <v>4.1194471687247436E-2</v>
      </c>
      <c r="L50" s="160">
        <f t="shared" si="1"/>
        <v>5.1305528956378188E-2</v>
      </c>
      <c r="M50" s="160">
        <f t="shared" si="1"/>
        <v>6.1385090647179341E-2</v>
      </c>
      <c r="N50" s="160">
        <f t="shared" si="1"/>
        <v>7.1448786783177898E-2</v>
      </c>
      <c r="O50" s="160">
        <f t="shared" si="1"/>
        <v>8.15002679591319E-2</v>
      </c>
      <c r="P50" s="160">
        <f t="shared" si="1"/>
        <v>9.154528891255076E-2</v>
      </c>
    </row>
    <row r="51" spans="1:16" ht="13.5" thickBot="1">
      <c r="A51" s="150">
        <v>60</v>
      </c>
      <c r="B51" s="159">
        <v>626114</v>
      </c>
      <c r="C51" s="159">
        <v>1127890</v>
      </c>
      <c r="D51" s="159">
        <v>2013991</v>
      </c>
      <c r="E51" s="159">
        <v>3570061</v>
      </c>
      <c r="F51" s="159">
        <v>6288735</v>
      </c>
      <c r="G51" s="159">
        <v>11011893</v>
      </c>
      <c r="H51" s="159">
        <v>19175997</v>
      </c>
      <c r="J51" s="160">
        <f t="shared" si="1"/>
        <v>3.1044849047053846E-2</v>
      </c>
      <c r="K51" s="160">
        <f t="shared" si="1"/>
        <v>4.1208678009325705E-2</v>
      </c>
      <c r="L51" s="160">
        <f t="shared" si="1"/>
        <v>5.1318464539733766E-2</v>
      </c>
      <c r="M51" s="160">
        <f t="shared" si="1"/>
        <v>6.1397174747568117E-2</v>
      </c>
      <c r="N51" s="160">
        <f t="shared" si="1"/>
        <v>7.1460227992401926E-2</v>
      </c>
      <c r="O51" s="160">
        <f t="shared" si="1"/>
        <v>8.1511229252895001E-2</v>
      </c>
      <c r="P51" s="160">
        <f t="shared" si="1"/>
        <v>9.1555861001341832E-2</v>
      </c>
    </row>
    <row r="52" spans="1:16" s="153" customFormat="1">
      <c r="I52" s="162" t="s">
        <v>0</v>
      </c>
    </row>
    <row r="53" spans="1:16" s="153" customFormat="1" ht="13.5" thickBot="1">
      <c r="I53" s="163">
        <f>SUM(J53:P53)</f>
        <v>5.9023740801549707E-2</v>
      </c>
      <c r="J53" s="160">
        <f>IF(Hilfe!$E$3='FSX (Einzel)'!J2,VLOOKUP(Hilfe!$B$54,$A$3:$P$51,10),0)</f>
        <v>0</v>
      </c>
      <c r="K53" s="160">
        <f>IF(Hilfe!$E$3='FSX (Einzel)'!K2,VLOOKUP(Hilfe!$B$54,$A$3:$P$51,11),0)</f>
        <v>0</v>
      </c>
      <c r="L53" s="160">
        <f>IF(Hilfe!$E$3='FSX (Einzel)'!L2,VLOOKUP(Hilfe!$B$54,$A$3:$P$51,12),0)</f>
        <v>0</v>
      </c>
      <c r="M53" s="160">
        <f>IF(Hilfe!$E$3='FSX (Einzel)'!M2,VLOOKUP(Hilfe!$B$54,$A$3:$P$51,13),0)</f>
        <v>5.9023740801549707E-2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4"/>
  <dimension ref="A1:P53"/>
  <sheetViews>
    <sheetView topLeftCell="A28" workbookViewId="0">
      <selection activeCell="A52" sqref="A52:XFD53"/>
    </sheetView>
  </sheetViews>
  <sheetFormatPr baseColWidth="10" defaultColWidth="11.42578125" defaultRowHeight="12.75"/>
  <cols>
    <col min="1" max="9" width="11.42578125" style="150"/>
    <col min="10" max="16" width="11.42578125" style="153"/>
    <col min="17" max="16384" width="11.42578125" style="150"/>
  </cols>
  <sheetData>
    <row r="1" spans="1:16" ht="15">
      <c r="A1" s="150" t="s">
        <v>14</v>
      </c>
      <c r="B1" s="152" t="s">
        <v>136</v>
      </c>
      <c r="C1" s="152"/>
      <c r="D1" s="152"/>
      <c r="E1" s="152"/>
      <c r="F1" s="152"/>
      <c r="G1" s="152"/>
      <c r="H1" s="152"/>
      <c r="K1" s="161" t="s">
        <v>122</v>
      </c>
    </row>
    <row r="2" spans="1:16">
      <c r="B2" s="151">
        <v>0.03</v>
      </c>
      <c r="C2" s="151">
        <v>0.04</v>
      </c>
      <c r="D2" s="151">
        <v>0.05</v>
      </c>
      <c r="E2" s="151">
        <v>0.06</v>
      </c>
      <c r="F2" s="151">
        <v>7.0000000000000007E-2</v>
      </c>
      <c r="G2" s="151">
        <v>0.08</v>
      </c>
      <c r="H2" s="151">
        <v>0.09</v>
      </c>
      <c r="J2" s="155">
        <v>0.03</v>
      </c>
      <c r="K2" s="155">
        <v>0.04</v>
      </c>
      <c r="L2" s="155">
        <v>0.05</v>
      </c>
      <c r="M2" s="155">
        <v>0.06</v>
      </c>
      <c r="N2" s="155">
        <v>7.0000000000000007E-2</v>
      </c>
      <c r="O2" s="155">
        <v>0.08</v>
      </c>
      <c r="P2" s="155">
        <v>0.09</v>
      </c>
    </row>
    <row r="3" spans="1:16">
      <c r="A3" s="150">
        <v>12</v>
      </c>
      <c r="B3" s="159">
        <v>144333</v>
      </c>
      <c r="C3" s="159">
        <v>162114</v>
      </c>
      <c r="D3" s="159">
        <v>181875</v>
      </c>
      <c r="E3" s="159">
        <v>203837</v>
      </c>
      <c r="F3" s="159">
        <v>228366</v>
      </c>
      <c r="G3" s="159">
        <v>255513</v>
      </c>
      <c r="H3" s="159">
        <v>285566</v>
      </c>
      <c r="J3" s="160">
        <f>(B3/100000)^(1/$A3)-1</f>
        <v>3.1051764669803195E-2</v>
      </c>
      <c r="K3" s="160">
        <f t="shared" ref="K3:P18" si="0">(C3/100000)^(1/$A3)-1</f>
        <v>4.1082253515695832E-2</v>
      </c>
      <c r="L3" s="160">
        <f t="shared" si="0"/>
        <v>5.1108989901555768E-2</v>
      </c>
      <c r="M3" s="160">
        <f t="shared" si="0"/>
        <v>6.1142197080390481E-2</v>
      </c>
      <c r="N3" s="160">
        <f t="shared" si="0"/>
        <v>7.1237959923642347E-2</v>
      </c>
      <c r="O3" s="160">
        <f t="shared" si="0"/>
        <v>8.1312151299146151E-2</v>
      </c>
      <c r="P3" s="160">
        <f t="shared" si="0"/>
        <v>9.1378870748882735E-2</v>
      </c>
    </row>
    <row r="4" spans="1:16">
      <c r="A4" s="150">
        <v>13</v>
      </c>
      <c r="B4" s="159">
        <v>149080</v>
      </c>
      <c r="C4" s="159">
        <v>169076</v>
      </c>
      <c r="D4" s="159">
        <v>191513</v>
      </c>
      <c r="E4" s="159">
        <v>216794</v>
      </c>
      <c r="F4" s="159">
        <v>245178</v>
      </c>
      <c r="G4" s="159">
        <v>276891</v>
      </c>
      <c r="H4" s="159">
        <v>312393</v>
      </c>
      <c r="J4" s="160">
        <f t="shared" ref="J4:P51" si="1">(B4/100000)^(1/$A4)-1</f>
        <v>3.119299137513587E-2</v>
      </c>
      <c r="K4" s="160">
        <f t="shared" si="0"/>
        <v>4.1225430274425268E-2</v>
      </c>
      <c r="L4" s="160">
        <f t="shared" si="0"/>
        <v>5.1253750986432811E-2</v>
      </c>
      <c r="M4" s="160">
        <f t="shared" si="0"/>
        <v>6.1328408499726095E-2</v>
      </c>
      <c r="N4" s="160">
        <f t="shared" si="0"/>
        <v>7.1420903492513732E-2</v>
      </c>
      <c r="O4" s="160">
        <f t="shared" si="0"/>
        <v>8.1493109836141553E-2</v>
      </c>
      <c r="P4" s="160">
        <f t="shared" si="0"/>
        <v>9.1575917594653333E-2</v>
      </c>
    </row>
    <row r="5" spans="1:16">
      <c r="A5" s="150">
        <v>14</v>
      </c>
      <c r="B5" s="159">
        <v>153984</v>
      </c>
      <c r="C5" s="159">
        <v>176337</v>
      </c>
      <c r="D5" s="159">
        <v>201671</v>
      </c>
      <c r="E5" s="159">
        <v>230578</v>
      </c>
      <c r="F5" s="159">
        <v>263230</v>
      </c>
      <c r="G5" s="159">
        <v>300060</v>
      </c>
      <c r="H5" s="159">
        <v>341843</v>
      </c>
      <c r="J5" s="160">
        <f t="shared" si="1"/>
        <v>3.1314476766567401E-2</v>
      </c>
      <c r="K5" s="160">
        <f t="shared" si="0"/>
        <v>4.1348175756956262E-2</v>
      </c>
      <c r="L5" s="160">
        <f t="shared" si="0"/>
        <v>5.1381295692946694E-2</v>
      </c>
      <c r="M5" s="160">
        <f t="shared" si="0"/>
        <v>6.14891563585096E-2</v>
      </c>
      <c r="N5" s="160">
        <f t="shared" si="0"/>
        <v>7.1578412613018116E-2</v>
      </c>
      <c r="O5" s="160">
        <f t="shared" si="0"/>
        <v>8.1648850823849983E-2</v>
      </c>
      <c r="P5" s="160">
        <f t="shared" si="0"/>
        <v>9.1768294294169106E-2</v>
      </c>
    </row>
    <row r="6" spans="1:16">
      <c r="A6" s="150">
        <v>15</v>
      </c>
      <c r="B6" s="159">
        <v>159051</v>
      </c>
      <c r="C6" s="159">
        <v>183912</v>
      </c>
      <c r="D6" s="159">
        <v>212467</v>
      </c>
      <c r="E6" s="159">
        <v>245239</v>
      </c>
      <c r="F6" s="159">
        <v>282613</v>
      </c>
      <c r="G6" s="159">
        <v>325333</v>
      </c>
      <c r="H6" s="159">
        <v>374071</v>
      </c>
      <c r="J6" s="160">
        <f t="shared" si="1"/>
        <v>3.1420503060414218E-2</v>
      </c>
      <c r="K6" s="160">
        <f t="shared" si="0"/>
        <v>4.1455387995038784E-2</v>
      </c>
      <c r="L6" s="160">
        <f t="shared" si="0"/>
        <v>5.1524588128163629E-2</v>
      </c>
      <c r="M6" s="160">
        <f t="shared" si="0"/>
        <v>6.1628663496501757E-2</v>
      </c>
      <c r="N6" s="160">
        <f t="shared" si="0"/>
        <v>7.1715410697219761E-2</v>
      </c>
      <c r="O6" s="160">
        <f t="shared" si="0"/>
        <v>8.1820502492283786E-2</v>
      </c>
      <c r="P6" s="160">
        <f t="shared" si="0"/>
        <v>9.1935375396960284E-2</v>
      </c>
    </row>
    <row r="7" spans="1:16">
      <c r="A7" s="150">
        <v>16</v>
      </c>
      <c r="B7" s="159">
        <v>164285</v>
      </c>
      <c r="C7" s="159">
        <v>191813</v>
      </c>
      <c r="D7" s="159">
        <v>223842</v>
      </c>
      <c r="E7" s="159">
        <v>260834</v>
      </c>
      <c r="F7" s="159">
        <v>303438</v>
      </c>
      <c r="G7" s="159">
        <v>352737</v>
      </c>
      <c r="H7" s="159">
        <v>409341</v>
      </c>
      <c r="J7" s="160">
        <f t="shared" si="1"/>
        <v>3.1513389086583743E-2</v>
      </c>
      <c r="K7" s="160">
        <f t="shared" si="0"/>
        <v>4.1549410296439993E-2</v>
      </c>
      <c r="L7" s="160">
        <f t="shared" si="0"/>
        <v>5.1650296461459355E-2</v>
      </c>
      <c r="M7" s="160">
        <f t="shared" si="0"/>
        <v>6.1751205105878837E-2</v>
      </c>
      <c r="N7" s="160">
        <f t="shared" si="0"/>
        <v>7.1838550058491712E-2</v>
      </c>
      <c r="O7" s="160">
        <f t="shared" si="0"/>
        <v>8.1971169410864686E-2</v>
      </c>
      <c r="P7" s="160">
        <f t="shared" si="0"/>
        <v>9.2082198367157808E-2</v>
      </c>
    </row>
    <row r="8" spans="1:16">
      <c r="A8" s="150">
        <v>17</v>
      </c>
      <c r="B8" s="159">
        <v>169692</v>
      </c>
      <c r="C8" s="159">
        <v>200055</v>
      </c>
      <c r="D8" s="159">
        <v>235828</v>
      </c>
      <c r="E8" s="159">
        <v>277424</v>
      </c>
      <c r="F8" s="159">
        <v>325950</v>
      </c>
      <c r="G8" s="159">
        <v>382452</v>
      </c>
      <c r="H8" s="159">
        <v>447939</v>
      </c>
      <c r="J8" s="160">
        <f t="shared" si="1"/>
        <v>3.1595626492503914E-2</v>
      </c>
      <c r="K8" s="160">
        <f t="shared" si="0"/>
        <v>4.1632858141186668E-2</v>
      </c>
      <c r="L8" s="160">
        <f t="shared" si="0"/>
        <v>5.1761754947095895E-2</v>
      </c>
      <c r="M8" s="160">
        <f t="shared" si="0"/>
        <v>6.1860084337978183E-2</v>
      </c>
      <c r="N8" s="160">
        <f t="shared" si="0"/>
        <v>7.1976715426395055E-2</v>
      </c>
      <c r="O8" s="160">
        <f t="shared" si="0"/>
        <v>8.2104570932767018E-2</v>
      </c>
      <c r="P8" s="160">
        <f t="shared" si="0"/>
        <v>9.2212123097386023E-2</v>
      </c>
    </row>
    <row r="9" spans="1:16">
      <c r="A9" s="150">
        <v>18</v>
      </c>
      <c r="B9" s="159">
        <v>175278</v>
      </c>
      <c r="C9" s="159">
        <v>208757</v>
      </c>
      <c r="D9" s="159">
        <v>248457</v>
      </c>
      <c r="E9" s="159">
        <v>295069</v>
      </c>
      <c r="F9" s="159">
        <v>350133</v>
      </c>
      <c r="G9" s="159">
        <v>414673</v>
      </c>
      <c r="H9" s="159">
        <v>490179</v>
      </c>
      <c r="J9" s="160">
        <f t="shared" si="1"/>
        <v>3.1669073002570602E-2</v>
      </c>
      <c r="K9" s="160">
        <f t="shared" si="0"/>
        <v>4.1736391728722344E-2</v>
      </c>
      <c r="L9" s="160">
        <f t="shared" si="0"/>
        <v>5.1861118790199168E-2</v>
      </c>
      <c r="M9" s="160">
        <f t="shared" si="0"/>
        <v>6.1956838279645154E-2</v>
      </c>
      <c r="N9" s="160">
        <f t="shared" si="0"/>
        <v>7.2099686855873646E-2</v>
      </c>
      <c r="O9" s="160">
        <f t="shared" si="0"/>
        <v>8.2223565748444027E-2</v>
      </c>
      <c r="P9" s="160">
        <f t="shared" si="0"/>
        <v>9.232793149478713E-2</v>
      </c>
    </row>
    <row r="10" spans="1:16">
      <c r="A10" s="150">
        <v>19</v>
      </c>
      <c r="B10" s="159">
        <v>181048</v>
      </c>
      <c r="C10" s="159">
        <v>217838</v>
      </c>
      <c r="D10" s="159">
        <v>261765</v>
      </c>
      <c r="E10" s="159">
        <v>313944</v>
      </c>
      <c r="F10" s="159">
        <v>376113</v>
      </c>
      <c r="G10" s="159">
        <v>449611</v>
      </c>
      <c r="H10" s="159">
        <v>536405</v>
      </c>
      <c r="J10" s="160">
        <f t="shared" si="1"/>
        <v>3.1734827963341372E-2</v>
      </c>
      <c r="K10" s="160">
        <f t="shared" si="0"/>
        <v>4.1829156608522489E-2</v>
      </c>
      <c r="L10" s="160">
        <f t="shared" si="0"/>
        <v>5.1950601272750863E-2</v>
      </c>
      <c r="M10" s="160">
        <f t="shared" si="0"/>
        <v>6.2062598723431117E-2</v>
      </c>
      <c r="N10" s="160">
        <f t="shared" si="0"/>
        <v>7.221014691718608E-2</v>
      </c>
      <c r="O10" s="160">
        <f t="shared" si="0"/>
        <v>8.2330353724175298E-2</v>
      </c>
      <c r="P10" s="160">
        <f t="shared" si="0"/>
        <v>9.243186318812846E-2</v>
      </c>
    </row>
    <row r="11" spans="1:16">
      <c r="A11" s="150">
        <v>20</v>
      </c>
      <c r="B11" s="159">
        <v>187010</v>
      </c>
      <c r="C11" s="159">
        <v>227315</v>
      </c>
      <c r="D11" s="159">
        <v>275786</v>
      </c>
      <c r="E11" s="159">
        <v>334084</v>
      </c>
      <c r="F11" s="159">
        <v>404023</v>
      </c>
      <c r="G11" s="159">
        <v>487494</v>
      </c>
      <c r="H11" s="159">
        <v>586994</v>
      </c>
      <c r="J11" s="160">
        <f t="shared" si="1"/>
        <v>3.1794578359457315E-2</v>
      </c>
      <c r="K11" s="160">
        <f t="shared" si="0"/>
        <v>4.191287515323161E-2</v>
      </c>
      <c r="L11" s="160">
        <f t="shared" si="0"/>
        <v>5.2031178078466356E-2</v>
      </c>
      <c r="M11" s="160">
        <f t="shared" si="0"/>
        <v>6.2166949749654421E-2</v>
      </c>
      <c r="N11" s="160">
        <f t="shared" si="0"/>
        <v>7.23098725060074E-2</v>
      </c>
      <c r="O11" s="160">
        <f t="shared" si="0"/>
        <v>8.2426618664423135E-2</v>
      </c>
      <c r="P11" s="160">
        <f t="shared" si="0"/>
        <v>9.2525753400201527E-2</v>
      </c>
    </row>
    <row r="12" spans="1:16">
      <c r="A12" s="150">
        <v>21</v>
      </c>
      <c r="B12" s="159">
        <v>193169</v>
      </c>
      <c r="C12" s="159">
        <v>237206</v>
      </c>
      <c r="D12" s="159">
        <v>290560</v>
      </c>
      <c r="E12" s="159">
        <v>355517</v>
      </c>
      <c r="F12" s="159">
        <v>434006</v>
      </c>
      <c r="G12" s="159">
        <v>528573</v>
      </c>
      <c r="H12" s="159">
        <v>642356</v>
      </c>
      <c r="J12" s="160">
        <f t="shared" si="1"/>
        <v>3.1848811241260488E-2</v>
      </c>
      <c r="K12" s="160">
        <f t="shared" si="0"/>
        <v>4.1988982941159048E-2</v>
      </c>
      <c r="L12" s="160">
        <f t="shared" si="0"/>
        <v>5.2104429147449505E-2</v>
      </c>
      <c r="M12" s="160">
        <f t="shared" si="0"/>
        <v>6.226151190920115E-2</v>
      </c>
      <c r="N12" s="160">
        <f t="shared" si="0"/>
        <v>7.2400331827601638E-2</v>
      </c>
      <c r="O12" s="160">
        <f t="shared" si="0"/>
        <v>8.2514120932056123E-2</v>
      </c>
      <c r="P12" s="160">
        <f t="shared" si="0"/>
        <v>9.2610861776795783E-2</v>
      </c>
    </row>
    <row r="13" spans="1:16">
      <c r="A13" s="150">
        <v>22</v>
      </c>
      <c r="B13" s="159">
        <v>199531</v>
      </c>
      <c r="C13" s="159">
        <v>247529</v>
      </c>
      <c r="D13" s="159">
        <v>306178</v>
      </c>
      <c r="E13" s="159">
        <v>378328</v>
      </c>
      <c r="F13" s="159">
        <v>466217</v>
      </c>
      <c r="G13" s="159">
        <v>573115</v>
      </c>
      <c r="H13" s="159">
        <v>702943</v>
      </c>
      <c r="J13" s="160">
        <f t="shared" si="1"/>
        <v>3.189815372953797E-2</v>
      </c>
      <c r="K13" s="160">
        <f t="shared" si="0"/>
        <v>4.2058486618914426E-2</v>
      </c>
      <c r="L13" s="160">
        <f t="shared" si="0"/>
        <v>5.2179234524659224E-2</v>
      </c>
      <c r="M13" s="160">
        <f t="shared" si="0"/>
        <v>6.2347864673546916E-2</v>
      </c>
      <c r="N13" s="160">
        <f t="shared" si="0"/>
        <v>7.2482880352677359E-2</v>
      </c>
      <c r="O13" s="160">
        <f t="shared" si="0"/>
        <v>8.2593799194654371E-2</v>
      </c>
      <c r="P13" s="160">
        <f t="shared" si="0"/>
        <v>9.2688490670083112E-2</v>
      </c>
    </row>
    <row r="14" spans="1:16">
      <c r="A14" s="150">
        <v>23</v>
      </c>
      <c r="B14" s="159">
        <v>206199</v>
      </c>
      <c r="C14" s="159">
        <v>258302</v>
      </c>
      <c r="D14" s="159">
        <v>322744</v>
      </c>
      <c r="E14" s="159">
        <v>402604</v>
      </c>
      <c r="F14" s="159">
        <v>500820</v>
      </c>
      <c r="G14" s="159">
        <v>621414</v>
      </c>
      <c r="H14" s="159">
        <v>769247</v>
      </c>
      <c r="J14" s="160">
        <f t="shared" si="1"/>
        <v>3.1964203392619073E-2</v>
      </c>
      <c r="K14" s="160">
        <f t="shared" si="0"/>
        <v>4.2122082452790588E-2</v>
      </c>
      <c r="L14" s="160">
        <f t="shared" si="0"/>
        <v>5.2262924177547632E-2</v>
      </c>
      <c r="M14" s="160">
        <f t="shared" si="0"/>
        <v>6.2426872988815996E-2</v>
      </c>
      <c r="N14" s="160">
        <f t="shared" si="0"/>
        <v>7.2558383697399975E-2</v>
      </c>
      <c r="O14" s="160">
        <f t="shared" si="0"/>
        <v>8.2666820450917333E-2</v>
      </c>
      <c r="P14" s="160">
        <f t="shared" si="0"/>
        <v>9.2759524488248424E-2</v>
      </c>
    </row>
    <row r="15" spans="1:16">
      <c r="A15" s="150">
        <v>24</v>
      </c>
      <c r="B15" s="159">
        <v>213099</v>
      </c>
      <c r="C15" s="159">
        <v>269546</v>
      </c>
      <c r="D15" s="159">
        <v>340209</v>
      </c>
      <c r="E15" s="159">
        <v>428439</v>
      </c>
      <c r="F15" s="159">
        <v>537994</v>
      </c>
      <c r="G15" s="159">
        <v>673785</v>
      </c>
      <c r="H15" s="159">
        <v>841808</v>
      </c>
      <c r="J15" s="160">
        <f t="shared" si="1"/>
        <v>3.2026602337928312E-2</v>
      </c>
      <c r="K15" s="160">
        <f t="shared" si="0"/>
        <v>4.2180726097089005E-2</v>
      </c>
      <c r="L15" s="160">
        <f t="shared" si="0"/>
        <v>5.2339991417599485E-2</v>
      </c>
      <c r="M15" s="160">
        <f t="shared" si="0"/>
        <v>6.2499436045605927E-2</v>
      </c>
      <c r="N15" s="160">
        <f t="shared" si="0"/>
        <v>7.2627827184526428E-2</v>
      </c>
      <c r="O15" s="160">
        <f t="shared" si="0"/>
        <v>8.2733869682190431E-2</v>
      </c>
      <c r="P15" s="160">
        <f t="shared" si="0"/>
        <v>9.2824804005807948E-2</v>
      </c>
    </row>
    <row r="16" spans="1:16">
      <c r="A16" s="150">
        <v>25</v>
      </c>
      <c r="B16" s="159">
        <v>220231</v>
      </c>
      <c r="C16" s="159">
        <v>281280</v>
      </c>
      <c r="D16" s="159">
        <v>358621</v>
      </c>
      <c r="E16" s="159">
        <v>455935</v>
      </c>
      <c r="F16" s="159">
        <v>577930</v>
      </c>
      <c r="G16" s="159">
        <v>730573</v>
      </c>
      <c r="H16" s="159">
        <v>921216</v>
      </c>
      <c r="J16" s="160">
        <f t="shared" si="1"/>
        <v>3.2084220127241103E-2</v>
      </c>
      <c r="K16" s="160">
        <f t="shared" si="0"/>
        <v>4.2234761751003047E-2</v>
      </c>
      <c r="L16" s="160">
        <f t="shared" si="0"/>
        <v>5.2411120977476022E-2</v>
      </c>
      <c r="M16" s="160">
        <f t="shared" si="0"/>
        <v>6.2566494354674651E-2</v>
      </c>
      <c r="N16" s="160">
        <f t="shared" si="0"/>
        <v>7.2691920563554113E-2</v>
      </c>
      <c r="O16" s="160">
        <f t="shared" si="0"/>
        <v>8.2795755554170292E-2</v>
      </c>
      <c r="P16" s="160">
        <f t="shared" si="0"/>
        <v>9.2884984004478088E-2</v>
      </c>
    </row>
    <row r="17" spans="1:16">
      <c r="A17" s="150">
        <v>26</v>
      </c>
      <c r="B17" s="159">
        <v>227603</v>
      </c>
      <c r="C17" s="159">
        <v>293526</v>
      </c>
      <c r="D17" s="159">
        <v>378030</v>
      </c>
      <c r="E17" s="159">
        <v>485197</v>
      </c>
      <c r="F17" s="159">
        <v>620832</v>
      </c>
      <c r="G17" s="159">
        <v>792150</v>
      </c>
      <c r="H17" s="159">
        <v>1008119</v>
      </c>
      <c r="J17" s="160">
        <f t="shared" si="1"/>
        <v>3.2137636445446427E-2</v>
      </c>
      <c r="K17" s="160">
        <f t="shared" si="0"/>
        <v>4.2284805844015505E-2</v>
      </c>
      <c r="L17" s="160">
        <f t="shared" si="0"/>
        <v>5.247684204170322E-2</v>
      </c>
      <c r="M17" s="160">
        <f t="shared" si="0"/>
        <v>6.2628514728132911E-2</v>
      </c>
      <c r="N17" s="160">
        <f t="shared" si="0"/>
        <v>7.2751186660915401E-2</v>
      </c>
      <c r="O17" s="160">
        <f t="shared" si="0"/>
        <v>8.2853030767420011E-2</v>
      </c>
      <c r="P17" s="160">
        <f t="shared" si="0"/>
        <v>9.2940722003226339E-2</v>
      </c>
    </row>
    <row r="18" spans="1:16">
      <c r="A18" s="150">
        <v>27</v>
      </c>
      <c r="B18" s="159">
        <v>235223</v>
      </c>
      <c r="C18" s="159">
        <v>306371</v>
      </c>
      <c r="D18" s="159">
        <v>398492</v>
      </c>
      <c r="E18" s="159">
        <v>516340</v>
      </c>
      <c r="F18" s="159">
        <v>666922</v>
      </c>
      <c r="G18" s="159">
        <v>858920</v>
      </c>
      <c r="H18" s="159">
        <v>1103222</v>
      </c>
      <c r="J18" s="160">
        <f t="shared" si="1"/>
        <v>3.2187298382863716E-2</v>
      </c>
      <c r="K18" s="160">
        <f t="shared" si="0"/>
        <v>4.2339443550717837E-2</v>
      </c>
      <c r="L18" s="160">
        <f t="shared" si="0"/>
        <v>5.253794912710319E-2</v>
      </c>
      <c r="M18" s="160">
        <f t="shared" si="0"/>
        <v>6.2686169778717327E-2</v>
      </c>
      <c r="N18" s="160">
        <f t="shared" si="0"/>
        <v>7.2806257261572416E-2</v>
      </c>
      <c r="O18" s="160">
        <f t="shared" si="0"/>
        <v>8.2906202768757264E-2</v>
      </c>
      <c r="P18" s="160">
        <f t="shared" si="0"/>
        <v>9.2992407078043238E-2</v>
      </c>
    </row>
    <row r="19" spans="1:16">
      <c r="A19" s="150">
        <v>28</v>
      </c>
      <c r="B19" s="159">
        <v>243099</v>
      </c>
      <c r="C19" s="159">
        <v>319873</v>
      </c>
      <c r="D19" s="159">
        <v>420063</v>
      </c>
      <c r="E19" s="159">
        <v>549483</v>
      </c>
      <c r="F19" s="159">
        <v>716435</v>
      </c>
      <c r="G19" s="159">
        <v>931320</v>
      </c>
      <c r="H19" s="159">
        <v>1207300</v>
      </c>
      <c r="J19" s="160">
        <f t="shared" si="1"/>
        <v>3.2233549746723433E-2</v>
      </c>
      <c r="K19" s="160">
        <f t="shared" si="1"/>
        <v>4.2401226489752863E-2</v>
      </c>
      <c r="L19" s="160">
        <f t="shared" si="1"/>
        <v>5.2594822866895985E-2</v>
      </c>
      <c r="M19" s="160">
        <f t="shared" si="1"/>
        <v>6.2739781668857519E-2</v>
      </c>
      <c r="N19" s="160">
        <f t="shared" si="1"/>
        <v>7.2857467404627174E-2</v>
      </c>
      <c r="O19" s="160">
        <f t="shared" si="1"/>
        <v>8.2955661500554889E-2</v>
      </c>
      <c r="P19" s="160">
        <f t="shared" si="1"/>
        <v>9.3040507990597821E-2</v>
      </c>
    </row>
    <row r="20" spans="1:16">
      <c r="A20" s="150">
        <v>29</v>
      </c>
      <c r="B20" s="159">
        <v>251240</v>
      </c>
      <c r="C20" s="159">
        <v>333971</v>
      </c>
      <c r="D20" s="159">
        <v>442803</v>
      </c>
      <c r="E20" s="159">
        <v>584756</v>
      </c>
      <c r="F20" s="159">
        <v>769627</v>
      </c>
      <c r="G20" s="159">
        <v>1009826</v>
      </c>
      <c r="H20" s="159">
        <v>1321200</v>
      </c>
      <c r="J20" s="160">
        <f t="shared" si="1"/>
        <v>3.2276795559495142E-2</v>
      </c>
      <c r="K20" s="160">
        <f t="shared" si="1"/>
        <v>4.2458854805029311E-2</v>
      </c>
      <c r="L20" s="160">
        <f t="shared" si="1"/>
        <v>5.2647885885010348E-2</v>
      </c>
      <c r="M20" s="160">
        <f t="shared" si="1"/>
        <v>6.2789861963115312E-2</v>
      </c>
      <c r="N20" s="160">
        <f t="shared" si="1"/>
        <v>7.2905297133171398E-2</v>
      </c>
      <c r="O20" s="160">
        <f t="shared" si="1"/>
        <v>8.3001832110084495E-2</v>
      </c>
      <c r="P20" s="160">
        <f t="shared" si="1"/>
        <v>9.3085387021107469E-2</v>
      </c>
    </row>
    <row r="21" spans="1:16">
      <c r="A21" s="150">
        <v>30</v>
      </c>
      <c r="B21" s="159">
        <v>259655</v>
      </c>
      <c r="C21" s="159">
        <v>348691</v>
      </c>
      <c r="D21" s="159">
        <v>466777</v>
      </c>
      <c r="E21" s="159">
        <v>622294</v>
      </c>
      <c r="F21" s="159">
        <v>826771</v>
      </c>
      <c r="G21" s="159">
        <v>1094951</v>
      </c>
      <c r="H21" s="159">
        <v>1445848</v>
      </c>
      <c r="J21" s="160">
        <f t="shared" si="1"/>
        <v>3.231734162006572E-2</v>
      </c>
      <c r="K21" s="160">
        <f t="shared" si="1"/>
        <v>4.2512708725276793E-2</v>
      </c>
      <c r="L21" s="160">
        <f t="shared" si="1"/>
        <v>5.2697637509431683E-2</v>
      </c>
      <c r="M21" s="160">
        <f t="shared" si="1"/>
        <v>6.2836646570360033E-2</v>
      </c>
      <c r="N21" s="160">
        <f t="shared" si="1"/>
        <v>7.2950058619033697E-2</v>
      </c>
      <c r="O21" s="160">
        <f t="shared" si="1"/>
        <v>8.3044969470331909E-2</v>
      </c>
      <c r="P21" s="160">
        <f t="shared" si="1"/>
        <v>9.3127335278874179E-2</v>
      </c>
    </row>
    <row r="22" spans="1:16">
      <c r="A22" s="150">
        <v>31</v>
      </c>
      <c r="B22" s="159">
        <v>268352</v>
      </c>
      <c r="C22" s="159">
        <v>364062</v>
      </c>
      <c r="D22" s="159">
        <v>492049</v>
      </c>
      <c r="E22" s="159">
        <v>662245</v>
      </c>
      <c r="F22" s="159">
        <v>888159</v>
      </c>
      <c r="G22" s="159">
        <v>1187256</v>
      </c>
      <c r="H22" s="159">
        <v>1582258</v>
      </c>
      <c r="J22" s="160">
        <f t="shared" si="1"/>
        <v>3.2355291748046966E-2</v>
      </c>
      <c r="K22" s="160">
        <f t="shared" si="1"/>
        <v>4.2563294497441451E-2</v>
      </c>
      <c r="L22" s="160">
        <f t="shared" si="1"/>
        <v>5.2744182356029734E-2</v>
      </c>
      <c r="M22" s="160">
        <f t="shared" si="1"/>
        <v>6.2880584211744361E-2</v>
      </c>
      <c r="N22" s="160">
        <f t="shared" si="1"/>
        <v>7.2991977517892659E-2</v>
      </c>
      <c r="O22" s="160">
        <f t="shared" si="1"/>
        <v>8.3085450203221445E-2</v>
      </c>
      <c r="P22" s="160">
        <f t="shared" si="1"/>
        <v>9.3166626401308683E-2</v>
      </c>
    </row>
    <row r="23" spans="1:16">
      <c r="A23" s="150">
        <v>32</v>
      </c>
      <c r="B23" s="159">
        <v>277342</v>
      </c>
      <c r="C23" s="159">
        <v>380112</v>
      </c>
      <c r="D23" s="159">
        <v>518692</v>
      </c>
      <c r="E23" s="159">
        <v>704762</v>
      </c>
      <c r="F23" s="159">
        <v>954108</v>
      </c>
      <c r="G23" s="159">
        <v>1287344</v>
      </c>
      <c r="H23" s="159">
        <v>1731542</v>
      </c>
      <c r="J23" s="160">
        <f t="shared" si="1"/>
        <v>3.2391068877940743E-2</v>
      </c>
      <c r="K23" s="160">
        <f t="shared" si="1"/>
        <v>4.2610842213041122E-2</v>
      </c>
      <c r="L23" s="160">
        <f t="shared" si="1"/>
        <v>5.2787993582985804E-2</v>
      </c>
      <c r="M23" s="160">
        <f t="shared" si="1"/>
        <v>6.2921832234694275E-2</v>
      </c>
      <c r="N23" s="160">
        <f t="shared" si="1"/>
        <v>7.3031380674012158E-2</v>
      </c>
      <c r="O23" s="160">
        <f t="shared" si="1"/>
        <v>8.3123445261581441E-2</v>
      </c>
      <c r="P23" s="160">
        <f t="shared" si="1"/>
        <v>9.3203547155811028E-2</v>
      </c>
    </row>
    <row r="24" spans="1:16">
      <c r="A24" s="150">
        <v>33</v>
      </c>
      <c r="B24" s="159">
        <v>286633</v>
      </c>
      <c r="C24" s="159">
        <v>396870</v>
      </c>
      <c r="D24" s="159">
        <v>546779</v>
      </c>
      <c r="E24" s="159">
        <v>750011</v>
      </c>
      <c r="F24" s="159">
        <v>1024956</v>
      </c>
      <c r="G24" s="159">
        <v>1395872</v>
      </c>
      <c r="H24" s="159">
        <v>1894913</v>
      </c>
      <c r="J24" s="160">
        <f t="shared" si="1"/>
        <v>3.2424660056295851E-2</v>
      </c>
      <c r="K24" s="160">
        <f t="shared" si="1"/>
        <v>4.2655543768449267E-2</v>
      </c>
      <c r="L24" s="160">
        <f t="shared" si="1"/>
        <v>5.2829230613699707E-2</v>
      </c>
      <c r="M24" s="160">
        <f t="shared" si="1"/>
        <v>6.2960682877005514E-2</v>
      </c>
      <c r="N24" s="160">
        <f t="shared" si="1"/>
        <v>7.3068462101686604E-2</v>
      </c>
      <c r="O24" s="160">
        <f t="shared" si="1"/>
        <v>8.3159194910589651E-2</v>
      </c>
      <c r="P24" s="160">
        <f t="shared" si="1"/>
        <v>9.3238270713695837E-2</v>
      </c>
    </row>
    <row r="25" spans="1:16">
      <c r="A25" s="150">
        <v>34</v>
      </c>
      <c r="B25" s="159">
        <v>296237</v>
      </c>
      <c r="C25" s="159">
        <v>414369</v>
      </c>
      <c r="D25" s="159">
        <v>576388</v>
      </c>
      <c r="E25" s="159">
        <v>798167</v>
      </c>
      <c r="F25" s="159">
        <v>1101067</v>
      </c>
      <c r="G25" s="159">
        <v>1513552</v>
      </c>
      <c r="H25" s="159">
        <v>2073702</v>
      </c>
      <c r="J25" s="160">
        <f t="shared" si="1"/>
        <v>3.2456455675264007E-2</v>
      </c>
      <c r="K25" s="160">
        <f t="shared" si="1"/>
        <v>4.2697779651015955E-2</v>
      </c>
      <c r="L25" s="160">
        <f t="shared" si="1"/>
        <v>5.2868102416420371E-2</v>
      </c>
      <c r="M25" s="160">
        <f t="shared" si="1"/>
        <v>6.2997320133997725E-2</v>
      </c>
      <c r="N25" s="160">
        <f t="shared" si="1"/>
        <v>7.3103424467042322E-2</v>
      </c>
      <c r="O25" s="160">
        <f t="shared" si="1"/>
        <v>8.3192899053216474E-2</v>
      </c>
      <c r="P25" s="160">
        <f t="shared" si="1"/>
        <v>9.3271013888327481E-2</v>
      </c>
    </row>
    <row r="26" spans="1:16">
      <c r="A26" s="150">
        <v>35</v>
      </c>
      <c r="B26" s="159">
        <v>306253</v>
      </c>
      <c r="C26" s="159">
        <v>432640</v>
      </c>
      <c r="D26" s="159">
        <v>607602</v>
      </c>
      <c r="E26" s="159">
        <v>849417</v>
      </c>
      <c r="F26" s="159">
        <v>1182832</v>
      </c>
      <c r="G26" s="159">
        <v>1641156</v>
      </c>
      <c r="H26" s="159">
        <v>2269362</v>
      </c>
      <c r="J26" s="160">
        <f t="shared" si="1"/>
        <v>3.2495125634597333E-2</v>
      </c>
      <c r="K26" s="160">
        <f t="shared" si="1"/>
        <v>4.2737632882689613E-2</v>
      </c>
      <c r="L26" s="160">
        <f t="shared" si="1"/>
        <v>5.2904834643531462E-2</v>
      </c>
      <c r="M26" s="160">
        <f t="shared" si="1"/>
        <v>6.3031938109019414E-2</v>
      </c>
      <c r="N26" s="160">
        <f t="shared" si="1"/>
        <v>7.3136446093090557E-2</v>
      </c>
      <c r="O26" s="160">
        <f t="shared" si="1"/>
        <v>8.3224732938862234E-2</v>
      </c>
      <c r="P26" s="160">
        <f t="shared" si="1"/>
        <v>9.3301912860409342E-2</v>
      </c>
    </row>
    <row r="27" spans="1:16">
      <c r="A27" s="150">
        <v>36</v>
      </c>
      <c r="B27" s="159">
        <v>316675</v>
      </c>
      <c r="C27" s="159">
        <v>451719</v>
      </c>
      <c r="D27" s="159">
        <v>640508</v>
      </c>
      <c r="E27" s="159">
        <v>903960</v>
      </c>
      <c r="F27" s="159">
        <v>1270672</v>
      </c>
      <c r="G27" s="159">
        <v>1779520</v>
      </c>
      <c r="H27" s="159">
        <v>2483486</v>
      </c>
      <c r="J27" s="160">
        <f t="shared" si="1"/>
        <v>3.2537749310855624E-2</v>
      </c>
      <c r="K27" s="160">
        <f t="shared" si="1"/>
        <v>4.2775425210708429E-2</v>
      </c>
      <c r="L27" s="160">
        <f t="shared" si="1"/>
        <v>5.2939601419614846E-2</v>
      </c>
      <c r="M27" s="160">
        <f t="shared" si="1"/>
        <v>6.3064707626366623E-2</v>
      </c>
      <c r="N27" s="160">
        <f t="shared" si="1"/>
        <v>7.316770798383665E-2</v>
      </c>
      <c r="O27" s="160">
        <f t="shared" si="1"/>
        <v>8.3254833082533342E-2</v>
      </c>
      <c r="P27" s="160">
        <f t="shared" si="1"/>
        <v>9.3331131396594547E-2</v>
      </c>
    </row>
    <row r="28" spans="1:16">
      <c r="A28" s="150">
        <v>37</v>
      </c>
      <c r="B28" s="159">
        <v>327452</v>
      </c>
      <c r="C28" s="159">
        <v>471640</v>
      </c>
      <c r="D28" s="159">
        <v>675198</v>
      </c>
      <c r="E28" s="159">
        <v>962007</v>
      </c>
      <c r="F28" s="159">
        <v>1365036</v>
      </c>
      <c r="G28" s="159">
        <v>1929553</v>
      </c>
      <c r="H28" s="159">
        <v>2717816</v>
      </c>
      <c r="J28" s="160">
        <f t="shared" si="1"/>
        <v>3.2578098934558319E-2</v>
      </c>
      <c r="K28" s="160">
        <f t="shared" si="1"/>
        <v>4.2811213904894396E-2</v>
      </c>
      <c r="L28" s="160">
        <f t="shared" si="1"/>
        <v>5.2972570236213157E-2</v>
      </c>
      <c r="M28" s="160">
        <f t="shared" si="1"/>
        <v>6.3095756618924748E-2</v>
      </c>
      <c r="N28" s="160">
        <f t="shared" si="1"/>
        <v>7.3197297594269406E-2</v>
      </c>
      <c r="O28" s="160">
        <f t="shared" si="1"/>
        <v>8.3283362923502136E-2</v>
      </c>
      <c r="P28" s="160">
        <f t="shared" si="1"/>
        <v>9.3358798298804224E-2</v>
      </c>
    </row>
    <row r="29" spans="1:16">
      <c r="A29" s="150">
        <v>38</v>
      </c>
      <c r="B29" s="159">
        <v>338597</v>
      </c>
      <c r="C29" s="159">
        <v>492441</v>
      </c>
      <c r="D29" s="159">
        <v>711769</v>
      </c>
      <c r="E29" s="159">
        <v>1023783</v>
      </c>
      <c r="F29" s="159">
        <v>1466411</v>
      </c>
      <c r="G29" s="159">
        <v>2092237</v>
      </c>
      <c r="H29" s="159">
        <v>2974260</v>
      </c>
      <c r="J29" s="160">
        <f t="shared" si="1"/>
        <v>3.2616425863251308E-2</v>
      </c>
      <c r="K29" s="160">
        <f t="shared" si="1"/>
        <v>4.2845202341032174E-2</v>
      </c>
      <c r="L29" s="160">
        <f t="shared" si="1"/>
        <v>5.3003889867060172E-2</v>
      </c>
      <c r="M29" s="160">
        <f t="shared" si="1"/>
        <v>6.3125214994903978E-2</v>
      </c>
      <c r="N29" s="160">
        <f t="shared" si="1"/>
        <v>7.3225393009923367E-2</v>
      </c>
      <c r="O29" s="160">
        <f t="shared" si="1"/>
        <v>8.3310413375705661E-2</v>
      </c>
      <c r="P29" s="160">
        <f t="shared" si="1"/>
        <v>9.3385045767203856E-2</v>
      </c>
    </row>
    <row r="30" spans="1:16">
      <c r="A30" s="150">
        <v>39</v>
      </c>
      <c r="B30" s="159">
        <v>350122</v>
      </c>
      <c r="C30" s="159">
        <v>514160</v>
      </c>
      <c r="D30" s="159">
        <v>750322</v>
      </c>
      <c r="E30" s="159">
        <v>1089528</v>
      </c>
      <c r="F30" s="159">
        <v>1575317</v>
      </c>
      <c r="G30" s="159">
        <v>2268640</v>
      </c>
      <c r="H30" s="159">
        <v>3254904</v>
      </c>
      <c r="J30" s="160">
        <f t="shared" si="1"/>
        <v>3.2652839602818062E-2</v>
      </c>
      <c r="K30" s="160">
        <f t="shared" si="1"/>
        <v>4.2877480112412769E-2</v>
      </c>
      <c r="L30" s="160">
        <f t="shared" si="1"/>
        <v>5.3033647095612091E-2</v>
      </c>
      <c r="M30" s="160">
        <f t="shared" si="1"/>
        <v>6.3153213677675124E-2</v>
      </c>
      <c r="N30" s="160">
        <f t="shared" si="1"/>
        <v>7.3252089209253413E-2</v>
      </c>
      <c r="O30" s="160">
        <f t="shared" si="1"/>
        <v>8.3336111857264195E-2</v>
      </c>
      <c r="P30" s="160">
        <f t="shared" si="1"/>
        <v>9.3409971950487281E-2</v>
      </c>
    </row>
    <row r="31" spans="1:16">
      <c r="A31" s="150">
        <v>40</v>
      </c>
      <c r="B31" s="159">
        <v>362041</v>
      </c>
      <c r="C31" s="159">
        <v>536839</v>
      </c>
      <c r="D31" s="159">
        <v>790964</v>
      </c>
      <c r="E31" s="159">
        <v>1159497</v>
      </c>
      <c r="F31" s="159">
        <v>1692312</v>
      </c>
      <c r="G31" s="159">
        <v>2459918</v>
      </c>
      <c r="H31" s="159">
        <v>3562031</v>
      </c>
      <c r="J31" s="160">
        <f t="shared" si="1"/>
        <v>3.268755633129472E-2</v>
      </c>
      <c r="K31" s="160">
        <f t="shared" si="1"/>
        <v>4.2908246346831769E-2</v>
      </c>
      <c r="L31" s="160">
        <f t="shared" si="1"/>
        <v>5.3061943037367332E-2</v>
      </c>
      <c r="M31" s="160">
        <f t="shared" si="1"/>
        <v>6.3179859108221104E-2</v>
      </c>
      <c r="N31" s="160">
        <f t="shared" si="1"/>
        <v>7.32774650722261E-2</v>
      </c>
      <c r="O31" s="160">
        <f t="shared" si="1"/>
        <v>8.3360547065560953E-2</v>
      </c>
      <c r="P31" s="160">
        <f t="shared" si="1"/>
        <v>9.3433668536234915E-2</v>
      </c>
    </row>
    <row r="32" spans="1:16">
      <c r="A32" s="150">
        <v>41</v>
      </c>
      <c r="B32" s="159">
        <v>374366</v>
      </c>
      <c r="C32" s="159">
        <v>560519</v>
      </c>
      <c r="D32" s="159">
        <v>833810</v>
      </c>
      <c r="E32" s="159">
        <v>1233961</v>
      </c>
      <c r="F32" s="159">
        <v>1818000</v>
      </c>
      <c r="G32" s="159">
        <v>2667327</v>
      </c>
      <c r="H32" s="159">
        <v>3898141</v>
      </c>
      <c r="J32" s="160">
        <f t="shared" si="1"/>
        <v>3.2720597357079662E-2</v>
      </c>
      <c r="K32" s="160">
        <f t="shared" si="1"/>
        <v>4.2937542387278205E-2</v>
      </c>
      <c r="L32" s="160">
        <f t="shared" si="1"/>
        <v>5.3088938940121233E-2</v>
      </c>
      <c r="M32" s="160">
        <f t="shared" si="1"/>
        <v>6.3205239471505248E-2</v>
      </c>
      <c r="N32" s="160">
        <f t="shared" si="1"/>
        <v>7.3301662151110225E-2</v>
      </c>
      <c r="O32" s="160">
        <f t="shared" si="1"/>
        <v>8.3383826450213583E-2</v>
      </c>
      <c r="P32" s="160">
        <f t="shared" si="1"/>
        <v>9.34562304526807E-2</v>
      </c>
    </row>
    <row r="33" spans="1:16">
      <c r="A33" s="150">
        <v>42</v>
      </c>
      <c r="B33" s="159">
        <v>387111</v>
      </c>
      <c r="C33" s="159">
        <v>585245</v>
      </c>
      <c r="D33" s="159">
        <v>878978</v>
      </c>
      <c r="E33" s="159">
        <v>1313209</v>
      </c>
      <c r="F33" s="159">
        <v>1953024</v>
      </c>
      <c r="G33" s="159">
        <v>2892225</v>
      </c>
      <c r="H33" s="159">
        <v>4265969</v>
      </c>
      <c r="J33" s="160">
        <f t="shared" si="1"/>
        <v>3.2752092580891068E-2</v>
      </c>
      <c r="K33" s="160">
        <f t="shared" si="1"/>
        <v>4.2965506678168897E-2</v>
      </c>
      <c r="L33" s="160">
        <f t="shared" si="1"/>
        <v>5.3114680214948029E-2</v>
      </c>
      <c r="M33" s="160">
        <f t="shared" si="1"/>
        <v>6.322944749351378E-2</v>
      </c>
      <c r="N33" s="160">
        <f t="shared" si="1"/>
        <v>7.3324722584297231E-2</v>
      </c>
      <c r="O33" s="160">
        <f t="shared" si="1"/>
        <v>8.340600868060255E-2</v>
      </c>
      <c r="P33" s="160">
        <f t="shared" si="1"/>
        <v>9.3477736530182431E-2</v>
      </c>
    </row>
    <row r="34" spans="1:16">
      <c r="A34" s="150">
        <v>43</v>
      </c>
      <c r="B34" s="159">
        <v>400291</v>
      </c>
      <c r="C34" s="159">
        <v>611063</v>
      </c>
      <c r="D34" s="159">
        <v>926594</v>
      </c>
      <c r="E34" s="159">
        <v>1397548</v>
      </c>
      <c r="F34" s="159">
        <v>2098078</v>
      </c>
      <c r="G34" s="159">
        <v>3136089</v>
      </c>
      <c r="H34" s="159">
        <v>4668509</v>
      </c>
      <c r="J34" s="160">
        <f t="shared" si="1"/>
        <v>3.2782190189055704E-2</v>
      </c>
      <c r="K34" s="160">
        <f t="shared" si="1"/>
        <v>4.2992221401055852E-2</v>
      </c>
      <c r="L34" s="160">
        <f t="shared" si="1"/>
        <v>5.3139257098697046E-2</v>
      </c>
      <c r="M34" s="160">
        <f t="shared" si="1"/>
        <v>6.32525565995814E-2</v>
      </c>
      <c r="N34" s="160">
        <f t="shared" si="1"/>
        <v>7.3346730922098091E-2</v>
      </c>
      <c r="O34" s="160">
        <f t="shared" si="1"/>
        <v>8.3427187956502946E-2</v>
      </c>
      <c r="P34" s="160">
        <f t="shared" si="1"/>
        <v>9.349826344598533E-2</v>
      </c>
    </row>
    <row r="35" spans="1:16">
      <c r="A35" s="150">
        <v>44</v>
      </c>
      <c r="B35" s="159">
        <v>413921</v>
      </c>
      <c r="C35" s="159">
        <v>638021</v>
      </c>
      <c r="D35" s="159">
        <v>976791</v>
      </c>
      <c r="E35" s="159">
        <v>1487306</v>
      </c>
      <c r="F35" s="159">
        <v>2253908</v>
      </c>
      <c r="G35" s="159">
        <v>3400517</v>
      </c>
      <c r="H35" s="159">
        <v>5109035</v>
      </c>
      <c r="J35" s="160">
        <f t="shared" si="1"/>
        <v>3.2810991964854264E-2</v>
      </c>
      <c r="K35" s="160">
        <f t="shared" si="1"/>
        <v>4.3017761193312687E-2</v>
      </c>
      <c r="L35" s="160">
        <f t="shared" si="1"/>
        <v>5.3162755266142669E-2</v>
      </c>
      <c r="M35" s="160">
        <f t="shared" si="1"/>
        <v>6.3274655508930966E-2</v>
      </c>
      <c r="N35" s="160">
        <f t="shared" si="1"/>
        <v>7.3367767696545627E-2</v>
      </c>
      <c r="O35" s="160">
        <f t="shared" si="1"/>
        <v>8.3447420107579218E-2</v>
      </c>
      <c r="P35" s="160">
        <f t="shared" si="1"/>
        <v>9.351786753955027E-2</v>
      </c>
    </row>
    <row r="36" spans="1:16">
      <c r="A36" s="150">
        <v>45</v>
      </c>
      <c r="B36" s="159">
        <v>428016</v>
      </c>
      <c r="C36" s="159">
        <v>666170</v>
      </c>
      <c r="D36" s="159">
        <v>1029709</v>
      </c>
      <c r="E36" s="159">
        <v>1582831</v>
      </c>
      <c r="F36" s="159">
        <v>2421314</v>
      </c>
      <c r="G36" s="159">
        <v>3687244</v>
      </c>
      <c r="H36" s="159">
        <v>5591132</v>
      </c>
      <c r="J36" s="160">
        <f t="shared" si="1"/>
        <v>3.283856242649863E-2</v>
      </c>
      <c r="K36" s="160">
        <f t="shared" si="1"/>
        <v>4.3042225814997614E-2</v>
      </c>
      <c r="L36" s="160">
        <f t="shared" si="1"/>
        <v>5.3185246930284258E-2</v>
      </c>
      <c r="M36" s="160">
        <f t="shared" si="1"/>
        <v>6.3295806435896607E-2</v>
      </c>
      <c r="N36" s="160">
        <f t="shared" si="1"/>
        <v>7.3387890369885023E-2</v>
      </c>
      <c r="O36" s="160">
        <f t="shared" si="1"/>
        <v>8.3466773146744E-2</v>
      </c>
      <c r="P36" s="160">
        <f t="shared" si="1"/>
        <v>9.3536611310505835E-2</v>
      </c>
    </row>
    <row r="37" spans="1:16">
      <c r="A37" s="150">
        <v>46</v>
      </c>
      <c r="B37" s="159">
        <v>442592</v>
      </c>
      <c r="C37" s="159">
        <v>695561</v>
      </c>
      <c r="D37" s="159">
        <v>1085495</v>
      </c>
      <c r="E37" s="159">
        <v>1684492</v>
      </c>
      <c r="F37" s="159">
        <v>2601156</v>
      </c>
      <c r="G37" s="159">
        <v>3998149</v>
      </c>
      <c r="H37" s="159">
        <v>6118723</v>
      </c>
      <c r="J37" s="160">
        <f t="shared" si="1"/>
        <v>3.2864987193258255E-2</v>
      </c>
      <c r="K37" s="160">
        <f t="shared" si="1"/>
        <v>4.3065630149704104E-2</v>
      </c>
      <c r="L37" s="160">
        <f t="shared" si="1"/>
        <v>5.3206785370617959E-2</v>
      </c>
      <c r="M37" s="160">
        <f t="shared" si="1"/>
        <v>6.3316048152444848E-2</v>
      </c>
      <c r="N37" s="160">
        <f t="shared" si="1"/>
        <v>7.3407157725905892E-2</v>
      </c>
      <c r="O37" s="160">
        <f t="shared" si="1"/>
        <v>8.3485294302533264E-2</v>
      </c>
      <c r="P37" s="160">
        <f t="shared" si="1"/>
        <v>9.3554550261495617E-2</v>
      </c>
    </row>
    <row r="38" spans="1:16">
      <c r="A38" s="150">
        <v>47</v>
      </c>
      <c r="B38" s="159">
        <v>457665</v>
      </c>
      <c r="C38" s="159">
        <v>726250</v>
      </c>
      <c r="D38" s="159">
        <v>1144306</v>
      </c>
      <c r="E38" s="159">
        <v>1792685</v>
      </c>
      <c r="F38" s="159">
        <v>2794358</v>
      </c>
      <c r="G38" s="159">
        <v>4335272</v>
      </c>
      <c r="H38" s="159">
        <v>6696102</v>
      </c>
      <c r="J38" s="160">
        <f t="shared" si="1"/>
        <v>3.2890317772933164E-2</v>
      </c>
      <c r="K38" s="160">
        <f t="shared" si="1"/>
        <v>4.3088078395843388E-2</v>
      </c>
      <c r="L38" s="160">
        <f t="shared" si="1"/>
        <v>5.3227460791644532E-2</v>
      </c>
      <c r="M38" s="160">
        <f t="shared" si="1"/>
        <v>6.3335461516230485E-2</v>
      </c>
      <c r="N38" s="160">
        <f t="shared" si="1"/>
        <v>7.3425624455466521E-2</v>
      </c>
      <c r="O38" s="160">
        <f t="shared" si="1"/>
        <v>8.3503042394471372E-2</v>
      </c>
      <c r="P38" s="160">
        <f t="shared" si="1"/>
        <v>9.3571737947167E-2</v>
      </c>
    </row>
    <row r="39" spans="1:16">
      <c r="A39" s="150">
        <v>48</v>
      </c>
      <c r="B39" s="159">
        <v>473252</v>
      </c>
      <c r="C39" s="159">
        <v>758295</v>
      </c>
      <c r="D39" s="159">
        <v>1206303</v>
      </c>
      <c r="E39" s="159">
        <v>1907828</v>
      </c>
      <c r="F39" s="159">
        <v>3001912</v>
      </c>
      <c r="G39" s="159">
        <v>4700824</v>
      </c>
      <c r="H39" s="159">
        <v>7327967</v>
      </c>
      <c r="J39" s="160">
        <f t="shared" si="1"/>
        <v>3.2914624003441251E-2</v>
      </c>
      <c r="K39" s="160">
        <f t="shared" si="1"/>
        <v>4.3109648033145875E-2</v>
      </c>
      <c r="L39" s="160">
        <f t="shared" si="1"/>
        <v>5.3247269308712486E-2</v>
      </c>
      <c r="M39" s="160">
        <f t="shared" si="1"/>
        <v>6.3354076622115008E-2</v>
      </c>
      <c r="N39" s="160">
        <f t="shared" si="1"/>
        <v>7.3443335720602132E-2</v>
      </c>
      <c r="O39" s="160">
        <f t="shared" si="1"/>
        <v>8.3520065020425527E-2</v>
      </c>
      <c r="P39" s="160">
        <f t="shared" si="1"/>
        <v>9.3588218996717432E-2</v>
      </c>
    </row>
    <row r="40" spans="1:16">
      <c r="A40" s="150">
        <v>49</v>
      </c>
      <c r="B40" s="159">
        <v>489370</v>
      </c>
      <c r="C40" s="159">
        <v>791755</v>
      </c>
      <c r="D40" s="159">
        <v>1271662</v>
      </c>
      <c r="E40" s="159">
        <v>2030369</v>
      </c>
      <c r="F40" s="159">
        <v>3224885</v>
      </c>
      <c r="G40" s="159">
        <v>5097201</v>
      </c>
      <c r="H40" s="159">
        <v>8019459</v>
      </c>
      <c r="J40" s="160">
        <f t="shared" si="1"/>
        <v>3.29379448496947E-2</v>
      </c>
      <c r="K40" s="160">
        <f t="shared" si="1"/>
        <v>4.3130365897152911E-2</v>
      </c>
      <c r="L40" s="160">
        <f t="shared" si="1"/>
        <v>5.326632179055113E-2</v>
      </c>
      <c r="M40" s="160">
        <f t="shared" si="1"/>
        <v>6.337195830797393E-2</v>
      </c>
      <c r="N40" s="160">
        <f t="shared" si="1"/>
        <v>7.3460342689156244E-2</v>
      </c>
      <c r="O40" s="160">
        <f t="shared" si="1"/>
        <v>8.3536399595782074E-2</v>
      </c>
      <c r="P40" s="160">
        <f t="shared" si="1"/>
        <v>9.3604033857845215E-2</v>
      </c>
    </row>
    <row r="41" spans="1:16">
      <c r="A41" s="150">
        <v>50</v>
      </c>
      <c r="B41" s="159">
        <v>506039</v>
      </c>
      <c r="C41" s="159">
        <v>826692</v>
      </c>
      <c r="D41" s="159">
        <v>1340563</v>
      </c>
      <c r="E41" s="159">
        <v>2160783</v>
      </c>
      <c r="F41" s="159">
        <v>3464422</v>
      </c>
      <c r="G41" s="159">
        <v>5527004</v>
      </c>
      <c r="H41" s="159">
        <v>8776206</v>
      </c>
      <c r="J41" s="160">
        <f t="shared" si="1"/>
        <v>3.2960417201496561E-2</v>
      </c>
      <c r="K41" s="160">
        <f t="shared" si="1"/>
        <v>4.3150269748345016E-2</v>
      </c>
      <c r="L41" s="160">
        <f t="shared" si="1"/>
        <v>5.3284624564516436E-2</v>
      </c>
      <c r="M41" s="160">
        <f t="shared" si="1"/>
        <v>6.3389145816701298E-2</v>
      </c>
      <c r="N41" s="160">
        <f t="shared" si="1"/>
        <v>7.3476683487977423E-2</v>
      </c>
      <c r="O41" s="160">
        <f t="shared" si="1"/>
        <v>8.355209354533244E-2</v>
      </c>
      <c r="P41" s="160">
        <f t="shared" si="1"/>
        <v>9.3619224944387014E-2</v>
      </c>
    </row>
    <row r="42" spans="1:16">
      <c r="A42" s="150">
        <v>51</v>
      </c>
      <c r="B42" s="159">
        <v>523276</v>
      </c>
      <c r="C42" s="159">
        <v>863172</v>
      </c>
      <c r="D42" s="159">
        <v>1413198</v>
      </c>
      <c r="E42" s="159">
        <v>2299575</v>
      </c>
      <c r="F42" s="159">
        <v>3721752</v>
      </c>
      <c r="G42" s="159">
        <v>5993051</v>
      </c>
      <c r="H42" s="159">
        <v>9604365</v>
      </c>
      <c r="J42" s="160">
        <f t="shared" si="1"/>
        <v>3.2982017176674594E-2</v>
      </c>
      <c r="K42" s="160">
        <f t="shared" si="1"/>
        <v>4.3169425857351174E-2</v>
      </c>
      <c r="L42" s="160">
        <f t="shared" si="1"/>
        <v>5.3302221812498107E-2</v>
      </c>
      <c r="M42" s="160">
        <f t="shared" si="1"/>
        <v>6.3405671268127239E-2</v>
      </c>
      <c r="N42" s="160">
        <f t="shared" si="1"/>
        <v>7.3492387922240443E-2</v>
      </c>
      <c r="O42" s="160">
        <f t="shared" si="1"/>
        <v>8.3567180838631794E-2</v>
      </c>
      <c r="P42" s="160">
        <f t="shared" si="1"/>
        <v>9.3633825953260974E-2</v>
      </c>
    </row>
    <row r="43" spans="1:16">
      <c r="A43" s="150">
        <v>52</v>
      </c>
      <c r="B43" s="159">
        <v>541100</v>
      </c>
      <c r="C43" s="159">
        <v>901262</v>
      </c>
      <c r="D43" s="159">
        <v>1489771</v>
      </c>
      <c r="E43" s="159">
        <v>2447283</v>
      </c>
      <c r="F43" s="159">
        <v>3998199</v>
      </c>
      <c r="G43" s="159">
        <v>6498399</v>
      </c>
      <c r="H43" s="159">
        <v>10510675</v>
      </c>
      <c r="J43" s="160">
        <f t="shared" si="1"/>
        <v>3.3002781783560309E-2</v>
      </c>
      <c r="K43" s="160">
        <f t="shared" si="1"/>
        <v>4.3187850471437139E-2</v>
      </c>
      <c r="L43" s="160">
        <f t="shared" si="1"/>
        <v>5.3319175928972617E-2</v>
      </c>
      <c r="M43" s="160">
        <f t="shared" si="1"/>
        <v>6.3421570347163447E-2</v>
      </c>
      <c r="N43" s="160">
        <f t="shared" si="1"/>
        <v>7.3507504394302314E-2</v>
      </c>
      <c r="O43" s="160">
        <f t="shared" si="1"/>
        <v>8.3581697899811624E-2</v>
      </c>
      <c r="P43" s="160">
        <f t="shared" si="1"/>
        <v>9.3647870572378222E-2</v>
      </c>
    </row>
    <row r="44" spans="1:16">
      <c r="A44" s="150">
        <v>53</v>
      </c>
      <c r="B44" s="159">
        <v>559533</v>
      </c>
      <c r="C44" s="159">
        <v>941035</v>
      </c>
      <c r="D44" s="159">
        <v>1570494</v>
      </c>
      <c r="E44" s="159">
        <v>2604482</v>
      </c>
      <c r="F44" s="159">
        <v>4295183</v>
      </c>
      <c r="G44" s="159">
        <v>7046360</v>
      </c>
      <c r="H44" s="159">
        <v>11502512</v>
      </c>
      <c r="J44" s="160">
        <f t="shared" si="1"/>
        <v>3.3022828460189446E-2</v>
      </c>
      <c r="K44" s="160">
        <f t="shared" si="1"/>
        <v>4.320562544747375E-2</v>
      </c>
      <c r="L44" s="160">
        <f t="shared" si="1"/>
        <v>5.3335502590431405E-2</v>
      </c>
      <c r="M44" s="160">
        <f t="shared" si="1"/>
        <v>6.3436895190444487E-2</v>
      </c>
      <c r="N44" s="160">
        <f t="shared" si="1"/>
        <v>7.3522064163120682E-2</v>
      </c>
      <c r="O44" s="160">
        <f t="shared" si="1"/>
        <v>8.3595669887848612E-2</v>
      </c>
      <c r="P44" s="160">
        <f t="shared" si="1"/>
        <v>9.3661391859374721E-2</v>
      </c>
    </row>
    <row r="45" spans="1:16">
      <c r="A45" s="150">
        <v>54</v>
      </c>
      <c r="B45" s="159">
        <v>578594</v>
      </c>
      <c r="C45" s="159">
        <v>982564</v>
      </c>
      <c r="D45" s="159">
        <v>1655592</v>
      </c>
      <c r="E45" s="159">
        <v>2771779</v>
      </c>
      <c r="F45" s="159">
        <v>4614228</v>
      </c>
      <c r="G45" s="159">
        <v>7640530</v>
      </c>
      <c r="H45" s="159">
        <v>12587946</v>
      </c>
      <c r="J45" s="160">
        <f t="shared" si="1"/>
        <v>3.3042135192657307E-2</v>
      </c>
      <c r="K45" s="160">
        <f t="shared" si="1"/>
        <v>4.3222758183815824E-2</v>
      </c>
      <c r="L45" s="160">
        <f t="shared" si="1"/>
        <v>5.3351237022025488E-2</v>
      </c>
      <c r="M45" s="160">
        <f t="shared" si="1"/>
        <v>6.3451655959924302E-2</v>
      </c>
      <c r="N45" s="160">
        <f t="shared" si="1"/>
        <v>7.3536090010081656E-2</v>
      </c>
      <c r="O45" s="160">
        <f t="shared" si="1"/>
        <v>8.3609133966547233E-2</v>
      </c>
      <c r="P45" s="160">
        <f t="shared" si="1"/>
        <v>9.3674416651082337E-2</v>
      </c>
    </row>
    <row r="46" spans="1:16">
      <c r="A46" s="150">
        <v>55</v>
      </c>
      <c r="B46" s="159">
        <v>598306</v>
      </c>
      <c r="C46" s="159">
        <v>1025927</v>
      </c>
      <c r="D46" s="159">
        <v>1745303</v>
      </c>
      <c r="E46" s="159">
        <v>2949825</v>
      </c>
      <c r="F46" s="159">
        <v>4956973</v>
      </c>
      <c r="G46" s="159">
        <v>8284805</v>
      </c>
      <c r="H46" s="159">
        <v>13775809</v>
      </c>
      <c r="J46" s="160">
        <f t="shared" si="1"/>
        <v>3.3060792621874224E-2</v>
      </c>
      <c r="K46" s="160">
        <f t="shared" si="1"/>
        <v>4.3239291761197007E-2</v>
      </c>
      <c r="L46" s="160">
        <f t="shared" si="1"/>
        <v>5.3366420611049126E-2</v>
      </c>
      <c r="M46" s="160">
        <f t="shared" si="1"/>
        <v>6.3465898517280239E-2</v>
      </c>
      <c r="N46" s="160">
        <f t="shared" si="1"/>
        <v>7.3549611614917465E-2</v>
      </c>
      <c r="O46" s="160">
        <f t="shared" si="1"/>
        <v>8.3622115309706979E-2</v>
      </c>
      <c r="P46" s="160">
        <f t="shared" si="1"/>
        <v>9.3686970951677662E-2</v>
      </c>
    </row>
    <row r="47" spans="1:16">
      <c r="A47" s="150">
        <v>56</v>
      </c>
      <c r="B47" s="159">
        <v>618689</v>
      </c>
      <c r="C47" s="159">
        <v>1071204</v>
      </c>
      <c r="D47" s="159">
        <v>1839876</v>
      </c>
      <c r="E47" s="159">
        <v>3139308</v>
      </c>
      <c r="F47" s="159">
        <v>5325180</v>
      </c>
      <c r="G47" s="159">
        <v>8983409</v>
      </c>
      <c r="H47" s="159">
        <v>15075768</v>
      </c>
      <c r="J47" s="160">
        <f t="shared" si="1"/>
        <v>3.307876721411529E-2</v>
      </c>
      <c r="K47" s="160">
        <f t="shared" si="1"/>
        <v>4.3255240017560759E-2</v>
      </c>
      <c r="L47" s="160">
        <f t="shared" si="1"/>
        <v>5.3381070934730213E-2</v>
      </c>
      <c r="M47" s="160">
        <f t="shared" si="1"/>
        <v>6.3479633592765872E-2</v>
      </c>
      <c r="N47" s="160">
        <f t="shared" si="1"/>
        <v>7.3562660873144337E-2</v>
      </c>
      <c r="O47" s="160">
        <f t="shared" si="1"/>
        <v>8.3634636586022992E-2</v>
      </c>
      <c r="P47" s="160">
        <f t="shared" si="1"/>
        <v>9.3699081125925732E-2</v>
      </c>
    </row>
    <row r="48" spans="1:16">
      <c r="A48" s="150">
        <v>57</v>
      </c>
      <c r="B48" s="159">
        <v>639768</v>
      </c>
      <c r="C48" s="159">
        <v>1118480</v>
      </c>
      <c r="D48" s="159">
        <v>1939575</v>
      </c>
      <c r="E48" s="159">
        <v>3340966</v>
      </c>
      <c r="F48" s="159">
        <v>5720740</v>
      </c>
      <c r="G48" s="159">
        <v>9740924</v>
      </c>
      <c r="H48" s="159">
        <v>16498402</v>
      </c>
      <c r="J48" s="160">
        <f t="shared" si="1"/>
        <v>3.3096156600936233E-2</v>
      </c>
      <c r="K48" s="160">
        <f t="shared" si="1"/>
        <v>4.3270642018051975E-2</v>
      </c>
      <c r="L48" s="160">
        <f t="shared" si="1"/>
        <v>5.3395220348369188E-2</v>
      </c>
      <c r="M48" s="160">
        <f t="shared" si="1"/>
        <v>6.3492906426568574E-2</v>
      </c>
      <c r="N48" s="160">
        <f t="shared" si="1"/>
        <v>7.3575260175767987E-2</v>
      </c>
      <c r="O48" s="160">
        <f t="shared" si="1"/>
        <v>8.3646723037831938E-2</v>
      </c>
      <c r="P48" s="160">
        <f t="shared" si="1"/>
        <v>9.3710771065070197E-2</v>
      </c>
    </row>
    <row r="49" spans="1:16">
      <c r="A49" s="150">
        <v>58</v>
      </c>
      <c r="B49" s="159">
        <v>661565</v>
      </c>
      <c r="C49" s="159">
        <v>1167844</v>
      </c>
      <c r="D49" s="159">
        <v>2044678</v>
      </c>
      <c r="E49" s="159">
        <v>3555578</v>
      </c>
      <c r="F49" s="159">
        <v>6145684</v>
      </c>
      <c r="G49" s="159">
        <v>10562319</v>
      </c>
      <c r="H49" s="159">
        <v>18055285</v>
      </c>
      <c r="J49" s="160">
        <f t="shared" si="1"/>
        <v>3.3112942038562521E-2</v>
      </c>
      <c r="K49" s="160">
        <f t="shared" si="1"/>
        <v>4.3285536909922984E-2</v>
      </c>
      <c r="L49" s="160">
        <f t="shared" si="1"/>
        <v>5.3408895546209756E-2</v>
      </c>
      <c r="M49" s="160">
        <f t="shared" si="1"/>
        <v>6.3505722796262987E-2</v>
      </c>
      <c r="N49" s="160">
        <f t="shared" si="1"/>
        <v>7.3587429331536836E-2</v>
      </c>
      <c r="O49" s="160">
        <f t="shared" si="1"/>
        <v>8.3658398985259064E-2</v>
      </c>
      <c r="P49" s="160">
        <f t="shared" si="1"/>
        <v>9.3722059357121967E-2</v>
      </c>
    </row>
    <row r="50" spans="1:16">
      <c r="A50" s="150">
        <v>59</v>
      </c>
      <c r="B50" s="159">
        <v>684105</v>
      </c>
      <c r="C50" s="159">
        <v>1219388</v>
      </c>
      <c r="D50" s="159">
        <v>2155478</v>
      </c>
      <c r="E50" s="159">
        <v>3783978</v>
      </c>
      <c r="F50" s="159">
        <v>6602196</v>
      </c>
      <c r="G50" s="159">
        <v>11452979</v>
      </c>
      <c r="H50" s="159">
        <v>19759088</v>
      </c>
      <c r="J50" s="160">
        <f t="shared" si="1"/>
        <v>3.3129168276057275E-2</v>
      </c>
      <c r="K50" s="160">
        <f t="shared" si="1"/>
        <v>4.3299946305707993E-2</v>
      </c>
      <c r="L50" s="160">
        <f t="shared" si="1"/>
        <v>5.3422120663421335E-2</v>
      </c>
      <c r="M50" s="160">
        <f t="shared" si="1"/>
        <v>6.3518114738636777E-2</v>
      </c>
      <c r="N50" s="160">
        <f t="shared" si="1"/>
        <v>7.3599193291370435E-2</v>
      </c>
      <c r="O50" s="160">
        <f t="shared" si="1"/>
        <v>8.3669681785305761E-2</v>
      </c>
      <c r="P50" s="160">
        <f t="shared" si="1"/>
        <v>9.3732968548856599E-2</v>
      </c>
    </row>
    <row r="51" spans="1:16" ht="13.5" thickBot="1">
      <c r="A51" s="150">
        <v>60</v>
      </c>
      <c r="B51" s="159">
        <v>707414</v>
      </c>
      <c r="C51" s="159">
        <v>1273207</v>
      </c>
      <c r="D51" s="159">
        <v>2272283</v>
      </c>
      <c r="E51" s="159">
        <v>4027052</v>
      </c>
      <c r="F51" s="159">
        <v>7092620</v>
      </c>
      <c r="G51" s="159">
        <v>12418746</v>
      </c>
      <c r="H51" s="159">
        <v>21623674</v>
      </c>
      <c r="J51" s="160">
        <f t="shared" si="1"/>
        <v>3.3144879337681399E-2</v>
      </c>
      <c r="K51" s="160">
        <f t="shared" si="1"/>
        <v>4.3313876292755404E-2</v>
      </c>
      <c r="L51" s="160">
        <f t="shared" si="1"/>
        <v>5.3434911341710967E-2</v>
      </c>
      <c r="M51" s="160">
        <f t="shared" si="1"/>
        <v>6.3530103646639136E-2</v>
      </c>
      <c r="N51" s="160">
        <f t="shared" si="1"/>
        <v>7.3610569030566175E-2</v>
      </c>
      <c r="O51" s="160">
        <f t="shared" si="1"/>
        <v>8.3680592577174417E-2</v>
      </c>
      <c r="P51" s="160">
        <f t="shared" si="1"/>
        <v>9.3743515989067605E-2</v>
      </c>
    </row>
    <row r="52" spans="1:16" s="153" customFormat="1">
      <c r="I52" s="162" t="s">
        <v>0</v>
      </c>
    </row>
    <row r="53" spans="1:16" s="153" customFormat="1" ht="13.5" thickBot="1">
      <c r="I53" s="163">
        <f>SUM(J53:P53)</f>
        <v>6.1142197080390481E-2</v>
      </c>
      <c r="J53" s="160">
        <f>IF(Hilfe!$E$3='FSX (Einzel)'!J2,VLOOKUP(Hilfe!$B$54,$A$3:$P$51,10),0)</f>
        <v>0</v>
      </c>
      <c r="K53" s="160">
        <f>IF(Hilfe!$E$3='FSX (Einzel)'!K2,VLOOKUP(Hilfe!$B$54,$A$3:$P$51,11),0)</f>
        <v>0</v>
      </c>
      <c r="L53" s="160">
        <f>IF(Hilfe!$E$3='FSX (Einzel)'!L2,VLOOKUP(Hilfe!$B$54,$A$3:$P$51,12),0)</f>
        <v>0</v>
      </c>
      <c r="M53" s="160">
        <f>IF(Hilfe!$E$3='FSX (Einzel)'!M2,VLOOKUP(Hilfe!$B$54,$A$3:$P$51,13),0)</f>
        <v>6.1142197080390481E-2</v>
      </c>
      <c r="N53" s="160">
        <f>IF(Hilfe!$E$3='FSX (Einzel)'!N2,VLOOKUP(Hilfe!$B$54,$A$3:$P$51,14),0)</f>
        <v>0</v>
      </c>
      <c r="O53" s="160">
        <f>IF(Hilfe!$E$3='FSX (Einzel)'!O2,VLOOKUP(Hilfe!$B$54,$A$3:$P$51,15),0)</f>
        <v>0</v>
      </c>
      <c r="P53" s="160">
        <f>IF(Hilfe!$E$3='FSX (Einzel)'!P2,VLOOKUP(Hilfe!$B$54,$A$3:$P$51,16),0)</f>
        <v>0</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5"/>
  <dimension ref="A1:U70"/>
  <sheetViews>
    <sheetView showGridLines="0" topLeftCell="I1" zoomScale="85" zoomScaleNormal="85" workbookViewId="0">
      <pane ySplit="9" topLeftCell="A62" activePane="bottomLeft" state="frozen"/>
      <selection pane="bottomLeft" activeCell="K7" sqref="K7"/>
    </sheetView>
  </sheetViews>
  <sheetFormatPr baseColWidth="10" defaultColWidth="11.42578125" defaultRowHeight="15"/>
  <cols>
    <col min="1" max="1" width="11.5703125" style="27" bestFit="1" customWidth="1"/>
    <col min="2" max="2" width="17" style="144" bestFit="1" customWidth="1"/>
    <col min="3" max="3" width="11" style="27" bestFit="1" customWidth="1"/>
    <col min="4" max="4" width="22.5703125" style="27" bestFit="1" customWidth="1"/>
    <col min="5" max="5" width="9.42578125" style="27" bestFit="1" customWidth="1"/>
    <col min="6" max="6" width="17" style="27" bestFit="1" customWidth="1"/>
    <col min="7" max="7" width="10.85546875" style="27" bestFit="1" customWidth="1"/>
    <col min="8" max="8" width="17.85546875" style="27" bestFit="1" customWidth="1"/>
    <col min="9" max="9" width="17.5703125" style="27" bestFit="1" customWidth="1"/>
    <col min="10" max="10" width="27.85546875" style="27" bestFit="1" customWidth="1"/>
    <col min="11" max="11" width="16.42578125" style="27" bestFit="1" customWidth="1"/>
    <col min="12" max="12" width="25.7109375" style="27" bestFit="1" customWidth="1"/>
    <col min="13" max="13" width="15.42578125" style="27" bestFit="1" customWidth="1"/>
    <col min="14" max="14" width="14.28515625" style="27" bestFit="1" customWidth="1"/>
    <col min="15" max="15" width="27.140625" style="27" bestFit="1" customWidth="1"/>
    <col min="16" max="16" width="20" style="27" bestFit="1" customWidth="1"/>
    <col min="17" max="17" width="13.7109375" style="60" customWidth="1"/>
    <col min="18" max="18" width="14.7109375" style="27" bestFit="1" customWidth="1"/>
    <col min="19" max="19" width="14.7109375" style="27" customWidth="1"/>
    <col min="20" max="20" width="15" style="27" bestFit="1" customWidth="1"/>
    <col min="21" max="21" width="18.7109375" style="27" bestFit="1" customWidth="1"/>
    <col min="22" max="16384" width="11.42578125" style="27"/>
  </cols>
  <sheetData>
    <row r="1" spans="1:21">
      <c r="A1" s="39" t="s">
        <v>0</v>
      </c>
      <c r="B1" s="5">
        <f>Hilfe!E3-Hilfe!G16</f>
        <v>0.06</v>
      </c>
      <c r="D1" s="3"/>
      <c r="F1" s="298" t="s">
        <v>10</v>
      </c>
      <c r="G1" s="299"/>
      <c r="H1" s="299"/>
      <c r="I1" s="300"/>
      <c r="J1" s="316"/>
      <c r="L1" s="27" t="s">
        <v>19</v>
      </c>
      <c r="M1" s="5">
        <f>Hilfe!E14</f>
        <v>0</v>
      </c>
      <c r="P1" s="5"/>
    </row>
    <row r="2" spans="1:21">
      <c r="A2" s="39" t="s">
        <v>41</v>
      </c>
      <c r="B2" s="1">
        <f>Eingabe!C10*Hilfe!B4</f>
        <v>0</v>
      </c>
      <c r="D2" s="1"/>
      <c r="F2" s="42"/>
      <c r="G2" s="29" t="s">
        <v>11</v>
      </c>
      <c r="H2" s="29" t="s">
        <v>12</v>
      </c>
      <c r="I2" s="43" t="s">
        <v>31</v>
      </c>
      <c r="J2" s="317"/>
      <c r="L2" s="27" t="s">
        <v>42</v>
      </c>
      <c r="M2" s="99">
        <f>25%*1.055</f>
        <v>0.26374999999999998</v>
      </c>
      <c r="P2" s="3"/>
    </row>
    <row r="3" spans="1:21" ht="15.75" thickBot="1">
      <c r="A3" s="39" t="s">
        <v>14</v>
      </c>
      <c r="B3" s="27">
        <f>Eingabe!C9</f>
        <v>12</v>
      </c>
      <c r="F3" s="55" t="s">
        <v>10</v>
      </c>
      <c r="G3" s="44">
        <f>Eingabe!C21</f>
        <v>0.01</v>
      </c>
      <c r="H3" s="44">
        <f>Eingabe!E21</f>
        <v>0.01</v>
      </c>
      <c r="I3" s="45">
        <f>Eingabe!G21</f>
        <v>0.01</v>
      </c>
      <c r="J3" s="64"/>
    </row>
    <row r="4" spans="1:21" ht="15.75" thickBot="1">
      <c r="F4" s="56" t="s">
        <v>32</v>
      </c>
      <c r="G4" s="46">
        <f>Eingabe!C22</f>
        <v>0.01</v>
      </c>
      <c r="H4" s="46">
        <f>Eingabe!E22</f>
        <v>0.01</v>
      </c>
      <c r="I4" s="46">
        <f>Eingabe!G22</f>
        <v>0.01</v>
      </c>
      <c r="J4" s="318" t="s">
        <v>48</v>
      </c>
      <c r="K4" s="319"/>
      <c r="L4" s="319"/>
      <c r="M4" s="319"/>
      <c r="N4" s="319"/>
      <c r="O4" s="319"/>
      <c r="P4" s="319"/>
      <c r="Q4" s="320"/>
    </row>
    <row r="5" spans="1:21" ht="15.75" thickBot="1">
      <c r="F5" s="57" t="s">
        <v>6</v>
      </c>
      <c r="G5" s="58">
        <v>0.3</v>
      </c>
      <c r="H5" s="58">
        <v>0.15</v>
      </c>
      <c r="I5" s="58">
        <v>0</v>
      </c>
      <c r="J5" s="66" t="s">
        <v>2</v>
      </c>
      <c r="K5" s="67" t="s">
        <v>47</v>
      </c>
      <c r="L5" s="67" t="s">
        <v>13</v>
      </c>
      <c r="M5" s="67" t="s">
        <v>118</v>
      </c>
      <c r="N5" s="67" t="s">
        <v>17</v>
      </c>
      <c r="O5" s="67" t="s">
        <v>43</v>
      </c>
      <c r="P5" s="67" t="s">
        <v>46</v>
      </c>
      <c r="Q5" s="71" t="s">
        <v>15</v>
      </c>
      <c r="R5" s="60"/>
    </row>
    <row r="6" spans="1:21" ht="15.75" thickBot="1">
      <c r="J6" s="68">
        <f>B3</f>
        <v>12</v>
      </c>
      <c r="K6" s="69">
        <f>MAX(VLOOKUP(J6,A11:AD70,20),0)</f>
        <v>0</v>
      </c>
      <c r="L6" s="69">
        <f>MAX(VLOOKUP(J6,A11:AD60,13),0)</f>
        <v>0</v>
      </c>
      <c r="M6" s="70">
        <f>VLOOKUP(J6,A11:AD60,14)</f>
        <v>1</v>
      </c>
      <c r="N6" s="69">
        <f>(K6-L6)*M6</f>
        <v>0</v>
      </c>
      <c r="O6" s="69">
        <f>VLOOKUP(J6,A11:AD60,12)</f>
        <v>0</v>
      </c>
      <c r="P6" s="69">
        <f>VLOOKUP(J6,A11:AD60,16)</f>
        <v>0</v>
      </c>
      <c r="Q6" s="72">
        <f>K6-(N6-P6-O6)*M2</f>
        <v>0</v>
      </c>
      <c r="R6" s="60"/>
    </row>
    <row r="9" spans="1:21">
      <c r="A9" s="32" t="s">
        <v>2</v>
      </c>
      <c r="B9" s="32" t="s">
        <v>10</v>
      </c>
      <c r="C9" s="32" t="s">
        <v>3</v>
      </c>
      <c r="D9" s="32" t="s">
        <v>45</v>
      </c>
      <c r="E9" s="32" t="s">
        <v>0</v>
      </c>
      <c r="F9" s="32" t="s">
        <v>7</v>
      </c>
      <c r="G9" s="32" t="s">
        <v>8</v>
      </c>
      <c r="H9" s="32" t="s">
        <v>4</v>
      </c>
      <c r="I9" s="32" t="s">
        <v>5</v>
      </c>
      <c r="J9" s="32" t="s">
        <v>31</v>
      </c>
      <c r="K9" s="32" t="s">
        <v>20</v>
      </c>
      <c r="L9" s="32" t="s">
        <v>43</v>
      </c>
      <c r="M9" s="32" t="s">
        <v>13</v>
      </c>
      <c r="N9" s="32" t="s">
        <v>17</v>
      </c>
      <c r="O9" s="32" t="s">
        <v>44</v>
      </c>
      <c r="P9" s="32" t="s">
        <v>46</v>
      </c>
      <c r="Q9" s="61" t="s">
        <v>9</v>
      </c>
      <c r="R9" s="32" t="s">
        <v>18</v>
      </c>
      <c r="S9" s="32" t="s">
        <v>52</v>
      </c>
      <c r="T9" s="32" t="s">
        <v>47</v>
      </c>
      <c r="U9" s="2"/>
    </row>
    <row r="10" spans="1:21">
      <c r="A10" s="51">
        <v>0</v>
      </c>
      <c r="B10" s="51"/>
      <c r="C10" s="2"/>
      <c r="D10" s="2"/>
      <c r="E10" s="2"/>
      <c r="F10" s="2"/>
      <c r="G10" s="2"/>
      <c r="H10" s="3">
        <f>Eingabe!C18</f>
        <v>1</v>
      </c>
      <c r="I10" s="3">
        <f>Eingabe!E18</f>
        <v>0</v>
      </c>
      <c r="J10" s="3">
        <f>Eingabe!G18</f>
        <v>0</v>
      </c>
      <c r="K10" s="3"/>
      <c r="L10" s="3"/>
      <c r="M10" s="3"/>
      <c r="N10" s="3"/>
      <c r="O10" s="3"/>
      <c r="P10" s="2"/>
      <c r="Q10" s="62"/>
      <c r="R10" s="2"/>
      <c r="S10" s="2"/>
      <c r="T10" s="2"/>
      <c r="U10" s="2"/>
    </row>
    <row r="11" spans="1:21">
      <c r="A11" s="27">
        <v>1</v>
      </c>
      <c r="B11" s="5">
        <f>$G$3*H10+$H$3*I10+$I$3*J10</f>
        <v>0.01</v>
      </c>
      <c r="C11" s="40">
        <f t="shared" ref="C11:C42" si="0">IF($B$3&gt;=A11,$B$2,0)/(1+B11)</f>
        <v>0</v>
      </c>
      <c r="D11" s="40">
        <f>C11</f>
        <v>0</v>
      </c>
      <c r="E11" s="47">
        <f>C11*$B$1</f>
        <v>0</v>
      </c>
      <c r="F11" s="47">
        <f>C11+E11</f>
        <v>0</v>
      </c>
      <c r="G11" s="27">
        <f>VLOOKUP(A11,Wechsel!$A$11:$E$31,1)</f>
        <v>0</v>
      </c>
      <c r="H11" s="35">
        <f>IF(G11&gt;0,VLOOKUP(A11,Wechsel!$A$11:$E$31,3),H10)</f>
        <v>1</v>
      </c>
      <c r="I11" s="35">
        <f>IF(G11&gt;0,VLOOKUP(A11,Wechsel!$A$11:$E$31,4),I10)</f>
        <v>0</v>
      </c>
      <c r="J11" s="35">
        <f>IF(G11&gt;0,VLOOKUP(A11,Wechsel!$A$11:$E$31,5),J10)</f>
        <v>0</v>
      </c>
      <c r="K11" s="52">
        <f>D11*$M$1*0.7*0.7*$M$2*H11+D11*$M$1*0.85*0.7*$M$2*I11+D11*$M$1*0.7*$M$2*J11</f>
        <v>0</v>
      </c>
      <c r="L11" s="53">
        <f>K11+L10</f>
        <v>0</v>
      </c>
      <c r="M11" s="54">
        <f>C11</f>
        <v>0</v>
      </c>
      <c r="N11" s="59">
        <f>1-(H11*$G$5+I11*$H$5+J11*$I$5)</f>
        <v>0.7</v>
      </c>
      <c r="O11" s="53">
        <f>IF(G11&gt;0,(F11-M11)*N11,0)</f>
        <v>0</v>
      </c>
      <c r="P11" s="52">
        <f>MAX(Eingabe!C28,0)</f>
        <v>0</v>
      </c>
      <c r="Q11" s="60">
        <f>MAX(0,K11+O11*$M$2-P11-IF(G11&gt;0,-(L10+K11),0))</f>
        <v>0</v>
      </c>
      <c r="R11" s="60">
        <f>MAX(IF(G11&gt;0,(H11*$G$4+I11*$H$4+J11*$I$4)*F11,0),0)</f>
        <v>0</v>
      </c>
      <c r="S11" s="60">
        <f>Eingabe!$C$25+Eingabe!$E$25*'Berechnung Ratierlich heute'!F11</f>
        <v>39</v>
      </c>
      <c r="T11" s="4">
        <f>F11-Q11-R11-S11</f>
        <v>-39</v>
      </c>
    </row>
    <row r="12" spans="1:21">
      <c r="A12" s="27">
        <v>2</v>
      </c>
      <c r="B12" s="5">
        <f t="shared" ref="B12:B60" si="1">$G$3*H11+$H$3*I11+$I$3*J11</f>
        <v>0.01</v>
      </c>
      <c r="C12" s="40">
        <f t="shared" si="0"/>
        <v>0</v>
      </c>
      <c r="D12" s="40">
        <f t="shared" ref="D12:D43" si="2">MAX(IF(A12&gt;$B$3,0,T11),0)</f>
        <v>0</v>
      </c>
      <c r="E12" s="47">
        <f t="shared" ref="E12:E43" si="3">(C12+D12)*$B$1</f>
        <v>0</v>
      </c>
      <c r="F12" s="47">
        <f t="shared" ref="F12:F43" si="4">IF(A12&gt;$B$3,0,C12+E12+D12)</f>
        <v>0</v>
      </c>
      <c r="G12" s="27">
        <f>IF(VLOOKUP(A12,Wechsel!$A$11:$E$31,1)=A12,VLOOKUP(A12,Wechsel!$A$11:$E$31,1),0)</f>
        <v>0</v>
      </c>
      <c r="H12" s="35">
        <f>IF(G12&gt;0,VLOOKUP(A12,Wechsel!$A$11:$E$31,3),H11)</f>
        <v>1</v>
      </c>
      <c r="I12" s="35">
        <f>IF(G12&gt;0,VLOOKUP(A12,Wechsel!$A$11:$E$31,4),I11)</f>
        <v>0</v>
      </c>
      <c r="J12" s="35">
        <f>IF(G12&gt;0,VLOOKUP(A12,Wechsel!$A$11:$E$31,5),J11)</f>
        <v>0</v>
      </c>
      <c r="K12" s="52">
        <f>D12*$M$1*0.7*0.7*$M$2*H12+D12*$M$1*0.85*0.7*$M$2*I12+D12*$M$1*0.7*$M$2*J12</f>
        <v>0</v>
      </c>
      <c r="L12" s="53">
        <f>IF(G11&gt;0,K12,K12+L11)</f>
        <v>0</v>
      </c>
      <c r="M12" s="54">
        <f t="shared" ref="M12:M43" si="5">IF(A12&gt;$B$3,0,IF(G11&gt;0,T11,C12+M11))</f>
        <v>0</v>
      </c>
      <c r="N12" s="59">
        <f t="shared" ref="N12:N60" si="6">1-(H12*$G$5+I12*$H$5+J12*$I$5)</f>
        <v>0.7</v>
      </c>
      <c r="O12" s="53">
        <f>IF(G12&gt;0,(F12-M12)*N11,0)</f>
        <v>0</v>
      </c>
      <c r="P12" s="52">
        <f>MAX(P11-Eingabe!$E$28,0)</f>
        <v>0</v>
      </c>
      <c r="Q12" s="60">
        <f>MAX(0,K12+O12*$M$2-P12-IF(G12&gt;0,-(L11+K12),0))</f>
        <v>0</v>
      </c>
      <c r="R12" s="60">
        <f t="shared" ref="R12:R18" si="7">MAX(IF(G12&gt;0,(H12*$G$4+I12*$H$4+J12*$I$4)*(F12-Q12),0),0)</f>
        <v>0</v>
      </c>
      <c r="S12" s="60">
        <f>Eingabe!$C$25+Eingabe!$E$25*'Berechnung Ratierlich heute'!F12</f>
        <v>39</v>
      </c>
      <c r="T12" s="4">
        <f t="shared" ref="T12:T60" si="8">F12-Q12-R12-S12</f>
        <v>-39</v>
      </c>
    </row>
    <row r="13" spans="1:21">
      <c r="A13" s="27">
        <v>3</v>
      </c>
      <c r="B13" s="5">
        <f t="shared" si="1"/>
        <v>0.01</v>
      </c>
      <c r="C13" s="40">
        <f t="shared" si="0"/>
        <v>0</v>
      </c>
      <c r="D13" s="40">
        <f t="shared" si="2"/>
        <v>0</v>
      </c>
      <c r="E13" s="47">
        <f t="shared" si="3"/>
        <v>0</v>
      </c>
      <c r="F13" s="47">
        <f t="shared" si="4"/>
        <v>0</v>
      </c>
      <c r="G13" s="27">
        <f>IF(VLOOKUP(A13,Wechsel!$A$11:$E$31,1)=A13,VLOOKUP(A13,Wechsel!$A$11:$E$31,1),0)</f>
        <v>3</v>
      </c>
      <c r="H13" s="35">
        <f>IF(G13&gt;0,VLOOKUP(A13,Wechsel!$A$11:$E$31,3),H12)</f>
        <v>0.66666666666666674</v>
      </c>
      <c r="I13" s="35">
        <f>IF(G13&gt;0,VLOOKUP(A13,Wechsel!$A$11:$E$31,4),I12)</f>
        <v>0</v>
      </c>
      <c r="J13" s="35">
        <f>IF(G13&gt;0,VLOOKUP(A13,Wechsel!$A$11:$E$31,5),J12)</f>
        <v>0.33333333333333326</v>
      </c>
      <c r="K13" s="52">
        <f t="shared" ref="K13:K60" si="9">D13*$M$1*0.7*0.7*$M$2*H13+D13*$M$1*0.85*0.7*$M$2*I13+D13*$M$1*0.7*$M$2*J13</f>
        <v>0</v>
      </c>
      <c r="L13" s="53">
        <f t="shared" ref="L13:L60" si="10">IF(G12&gt;0,K13,K13+L12)</f>
        <v>0</v>
      </c>
      <c r="M13" s="54">
        <f t="shared" si="5"/>
        <v>0</v>
      </c>
      <c r="N13" s="59">
        <f t="shared" si="6"/>
        <v>0.8</v>
      </c>
      <c r="O13" s="53">
        <f t="shared" ref="O13:O60" si="11">IF(G13&gt;0,(F13-M13)*N12,0)</f>
        <v>0</v>
      </c>
      <c r="P13" s="52">
        <f>MAX(P12-Eingabe!$E$28,0)</f>
        <v>0</v>
      </c>
      <c r="Q13" s="60">
        <f t="shared" ref="Q13:Q32" si="12">MAX(0,K13+O13*$M$2-P13-IF(G13&gt;0,-(L12+K13),0))</f>
        <v>0</v>
      </c>
      <c r="R13" s="60">
        <f t="shared" si="7"/>
        <v>0</v>
      </c>
      <c r="S13" s="60">
        <f>Eingabe!$C$25+Eingabe!$E$25*'Berechnung Ratierlich heute'!F13</f>
        <v>39</v>
      </c>
      <c r="T13" s="4">
        <f t="shared" si="8"/>
        <v>-39</v>
      </c>
    </row>
    <row r="14" spans="1:21">
      <c r="A14" s="27">
        <v>4</v>
      </c>
      <c r="B14" s="5">
        <f t="shared" si="1"/>
        <v>0.01</v>
      </c>
      <c r="C14" s="40">
        <f t="shared" si="0"/>
        <v>0</v>
      </c>
      <c r="D14" s="40">
        <f t="shared" si="2"/>
        <v>0</v>
      </c>
      <c r="E14" s="47">
        <f t="shared" si="3"/>
        <v>0</v>
      </c>
      <c r="F14" s="47">
        <f t="shared" si="4"/>
        <v>0</v>
      </c>
      <c r="G14" s="27">
        <f>IF(VLOOKUP(A14,Wechsel!$A$11:$E$31,1)=A14,VLOOKUP(A14,Wechsel!$A$11:$E$31,1),0)</f>
        <v>0</v>
      </c>
      <c r="H14" s="35">
        <f>IF(G14&gt;0,VLOOKUP(A14,Wechsel!$A$11:$E$31,3),H13)</f>
        <v>0.66666666666666674</v>
      </c>
      <c r="I14" s="35">
        <f>IF(G14&gt;0,VLOOKUP(A14,Wechsel!$A$11:$E$31,4),I13)</f>
        <v>0</v>
      </c>
      <c r="J14" s="35">
        <f>IF(G14&gt;0,VLOOKUP(A14,Wechsel!$A$11:$E$31,5),J13)</f>
        <v>0.33333333333333326</v>
      </c>
      <c r="K14" s="52">
        <f t="shared" si="9"/>
        <v>0</v>
      </c>
      <c r="L14" s="53">
        <f t="shared" si="10"/>
        <v>0</v>
      </c>
      <c r="M14" s="54">
        <f t="shared" si="5"/>
        <v>-39</v>
      </c>
      <c r="N14" s="59">
        <f t="shared" si="6"/>
        <v>0.8</v>
      </c>
      <c r="O14" s="53">
        <f t="shared" si="11"/>
        <v>0</v>
      </c>
      <c r="P14" s="52">
        <f>MAX(P13-Eingabe!$E$28,0)</f>
        <v>0</v>
      </c>
      <c r="Q14" s="60">
        <f t="shared" si="12"/>
        <v>0</v>
      </c>
      <c r="R14" s="60">
        <f t="shared" si="7"/>
        <v>0</v>
      </c>
      <c r="S14" s="60">
        <f>Eingabe!$C$25+Eingabe!$E$25*'Berechnung Ratierlich heute'!F14</f>
        <v>39</v>
      </c>
      <c r="T14" s="4">
        <f t="shared" si="8"/>
        <v>-39</v>
      </c>
    </row>
    <row r="15" spans="1:21">
      <c r="A15" s="27">
        <v>5</v>
      </c>
      <c r="B15" s="5">
        <f t="shared" si="1"/>
        <v>0.01</v>
      </c>
      <c r="C15" s="40">
        <f t="shared" si="0"/>
        <v>0</v>
      </c>
      <c r="D15" s="40">
        <f t="shared" si="2"/>
        <v>0</v>
      </c>
      <c r="E15" s="47">
        <f t="shared" si="3"/>
        <v>0</v>
      </c>
      <c r="F15" s="47">
        <f t="shared" si="4"/>
        <v>0</v>
      </c>
      <c r="G15" s="27">
        <f>IF(VLOOKUP(A15,Wechsel!$A$11:$E$31,1)=A15,VLOOKUP(A15,Wechsel!$A$11:$E$31,1),0)</f>
        <v>0</v>
      </c>
      <c r="H15" s="35">
        <f>IF(G15&gt;0,VLOOKUP(A15,Wechsel!$A$11:$E$31,3),H14)</f>
        <v>0.66666666666666674</v>
      </c>
      <c r="I15" s="35">
        <f>IF(G15&gt;0,VLOOKUP(A15,Wechsel!$A$11:$E$31,4),I14)</f>
        <v>0</v>
      </c>
      <c r="J15" s="35">
        <f>IF(G15&gt;0,VLOOKUP(A15,Wechsel!$A$11:$E$31,5),J14)</f>
        <v>0.33333333333333326</v>
      </c>
      <c r="K15" s="52">
        <f t="shared" si="9"/>
        <v>0</v>
      </c>
      <c r="L15" s="53">
        <f t="shared" si="10"/>
        <v>0</v>
      </c>
      <c r="M15" s="54">
        <f t="shared" si="5"/>
        <v>-39</v>
      </c>
      <c r="N15" s="59">
        <f t="shared" si="6"/>
        <v>0.8</v>
      </c>
      <c r="O15" s="53">
        <f t="shared" si="11"/>
        <v>0</v>
      </c>
      <c r="P15" s="52">
        <f>MAX(P14-Eingabe!$E$28,0)</f>
        <v>0</v>
      </c>
      <c r="Q15" s="60">
        <f t="shared" si="12"/>
        <v>0</v>
      </c>
      <c r="R15" s="60">
        <f t="shared" si="7"/>
        <v>0</v>
      </c>
      <c r="S15" s="60">
        <f>Eingabe!$C$25+Eingabe!$E$25*'Berechnung Ratierlich heute'!F15</f>
        <v>39</v>
      </c>
      <c r="T15" s="4">
        <f t="shared" si="8"/>
        <v>-39</v>
      </c>
    </row>
    <row r="16" spans="1:21">
      <c r="A16" s="27">
        <v>6</v>
      </c>
      <c r="B16" s="5">
        <f t="shared" si="1"/>
        <v>0.01</v>
      </c>
      <c r="C16" s="40">
        <f t="shared" si="0"/>
        <v>0</v>
      </c>
      <c r="D16" s="40">
        <f t="shared" si="2"/>
        <v>0</v>
      </c>
      <c r="E16" s="47">
        <f t="shared" si="3"/>
        <v>0</v>
      </c>
      <c r="F16" s="47">
        <f t="shared" si="4"/>
        <v>0</v>
      </c>
      <c r="G16" s="27">
        <f>IF(VLOOKUP(A16,Wechsel!$A$11:$E$31,1)=A16,VLOOKUP(A16,Wechsel!$A$11:$E$31,1),0)</f>
        <v>6</v>
      </c>
      <c r="H16" s="35">
        <f>IF(G16&gt;0,VLOOKUP(A16,Wechsel!$A$11:$E$31,3),H15)</f>
        <v>0.33333333333333343</v>
      </c>
      <c r="I16" s="35">
        <f>IF(G16&gt;0,VLOOKUP(A16,Wechsel!$A$11:$E$31,4),I15)</f>
        <v>0</v>
      </c>
      <c r="J16" s="35">
        <f>IF(G16&gt;0,VLOOKUP(A16,Wechsel!$A$11:$E$31,5),J15)</f>
        <v>0.66666666666666652</v>
      </c>
      <c r="K16" s="52">
        <f t="shared" si="9"/>
        <v>0</v>
      </c>
      <c r="L16" s="53">
        <f t="shared" si="10"/>
        <v>0</v>
      </c>
      <c r="M16" s="54">
        <f t="shared" si="5"/>
        <v>-39</v>
      </c>
      <c r="N16" s="59">
        <f t="shared" si="6"/>
        <v>0.9</v>
      </c>
      <c r="O16" s="53">
        <f t="shared" si="11"/>
        <v>31.200000000000003</v>
      </c>
      <c r="P16" s="52">
        <f>MAX(P15-Eingabe!$E$28,0)</f>
        <v>0</v>
      </c>
      <c r="Q16" s="60">
        <f t="shared" si="12"/>
        <v>8.229000000000001</v>
      </c>
      <c r="R16" s="60">
        <f t="shared" si="7"/>
        <v>0</v>
      </c>
      <c r="S16" s="60">
        <f>Eingabe!$C$25+Eingabe!$E$25*'Berechnung Ratierlich heute'!F16</f>
        <v>39</v>
      </c>
      <c r="T16" s="4">
        <f t="shared" si="8"/>
        <v>-47.228999999999999</v>
      </c>
    </row>
    <row r="17" spans="1:20">
      <c r="A17" s="27">
        <v>7</v>
      </c>
      <c r="B17" s="5">
        <f t="shared" si="1"/>
        <v>0.01</v>
      </c>
      <c r="C17" s="40">
        <f t="shared" si="0"/>
        <v>0</v>
      </c>
      <c r="D17" s="40">
        <f t="shared" si="2"/>
        <v>0</v>
      </c>
      <c r="E17" s="47">
        <f t="shared" si="3"/>
        <v>0</v>
      </c>
      <c r="F17" s="47">
        <f t="shared" si="4"/>
        <v>0</v>
      </c>
      <c r="G17" s="27">
        <f>IF(VLOOKUP(A17,Wechsel!$A$11:$E$31,1)=A17,VLOOKUP(A17,Wechsel!$A$11:$E$31,1),0)</f>
        <v>0</v>
      </c>
      <c r="H17" s="35">
        <f>IF(G17&gt;0,VLOOKUP(A17,Wechsel!$A$11:$E$31,3),H16)</f>
        <v>0.33333333333333343</v>
      </c>
      <c r="I17" s="35">
        <f>IF(G17&gt;0,VLOOKUP(A17,Wechsel!$A$11:$E$31,4),I16)</f>
        <v>0</v>
      </c>
      <c r="J17" s="35">
        <f>IF(G17&gt;0,VLOOKUP(A17,Wechsel!$A$11:$E$31,5),J16)</f>
        <v>0.66666666666666652</v>
      </c>
      <c r="K17" s="52">
        <f t="shared" si="9"/>
        <v>0</v>
      </c>
      <c r="L17" s="53">
        <f t="shared" si="10"/>
        <v>0</v>
      </c>
      <c r="M17" s="54">
        <f t="shared" si="5"/>
        <v>-47.228999999999999</v>
      </c>
      <c r="N17" s="59">
        <f t="shared" si="6"/>
        <v>0.9</v>
      </c>
      <c r="O17" s="53">
        <f t="shared" si="11"/>
        <v>0</v>
      </c>
      <c r="P17" s="52">
        <f>MAX(P16-Eingabe!$E$28,0)</f>
        <v>0</v>
      </c>
      <c r="Q17" s="60">
        <f t="shared" si="12"/>
        <v>0</v>
      </c>
      <c r="R17" s="60">
        <f t="shared" si="7"/>
        <v>0</v>
      </c>
      <c r="S17" s="60">
        <f>Eingabe!$C$25+Eingabe!$E$25*'Berechnung Ratierlich heute'!F17</f>
        <v>39</v>
      </c>
      <c r="T17" s="4">
        <f t="shared" si="8"/>
        <v>-39</v>
      </c>
    </row>
    <row r="18" spans="1:20">
      <c r="A18" s="27">
        <v>8</v>
      </c>
      <c r="B18" s="5">
        <f t="shared" si="1"/>
        <v>0.01</v>
      </c>
      <c r="C18" s="40">
        <f t="shared" si="0"/>
        <v>0</v>
      </c>
      <c r="D18" s="40">
        <f t="shared" si="2"/>
        <v>0</v>
      </c>
      <c r="E18" s="47">
        <f t="shared" si="3"/>
        <v>0</v>
      </c>
      <c r="F18" s="47">
        <f t="shared" si="4"/>
        <v>0</v>
      </c>
      <c r="G18" s="27">
        <f>IF(VLOOKUP(A18,Wechsel!$A$11:$E$31,1)=A18,VLOOKUP(A18,Wechsel!$A$11:$E$31,1),0)</f>
        <v>0</v>
      </c>
      <c r="H18" s="35">
        <f>IF(G18&gt;0,VLOOKUP(A18,Wechsel!$A$11:$E$31,3),H17)</f>
        <v>0.33333333333333343</v>
      </c>
      <c r="I18" s="35">
        <f>IF(G18&gt;0,VLOOKUP(A18,Wechsel!$A$11:$E$31,4),I17)</f>
        <v>0</v>
      </c>
      <c r="J18" s="35">
        <f>IF(G18&gt;0,VLOOKUP(A18,Wechsel!$A$11:$E$31,5),J17)</f>
        <v>0.66666666666666652</v>
      </c>
      <c r="K18" s="52">
        <f t="shared" si="9"/>
        <v>0</v>
      </c>
      <c r="L18" s="53">
        <f t="shared" si="10"/>
        <v>0</v>
      </c>
      <c r="M18" s="54">
        <f t="shared" si="5"/>
        <v>-47.228999999999999</v>
      </c>
      <c r="N18" s="59">
        <f t="shared" si="6"/>
        <v>0.9</v>
      </c>
      <c r="O18" s="53">
        <f t="shared" si="11"/>
        <v>0</v>
      </c>
      <c r="P18" s="52">
        <f>MAX(P17-Eingabe!$E$28,0)</f>
        <v>0</v>
      </c>
      <c r="Q18" s="60">
        <f t="shared" si="12"/>
        <v>0</v>
      </c>
      <c r="R18" s="60">
        <f t="shared" si="7"/>
        <v>0</v>
      </c>
      <c r="S18" s="60">
        <f>Eingabe!$C$25+Eingabe!$E$25*'Berechnung Ratierlich heute'!F18</f>
        <v>39</v>
      </c>
      <c r="T18" s="4">
        <f t="shared" si="8"/>
        <v>-39</v>
      </c>
    </row>
    <row r="19" spans="1:20">
      <c r="A19" s="27">
        <v>9</v>
      </c>
      <c r="B19" s="5">
        <f t="shared" si="1"/>
        <v>0.01</v>
      </c>
      <c r="C19" s="40">
        <f t="shared" si="0"/>
        <v>0</v>
      </c>
      <c r="D19" s="40">
        <f t="shared" si="2"/>
        <v>0</v>
      </c>
      <c r="E19" s="47">
        <f t="shared" si="3"/>
        <v>0</v>
      </c>
      <c r="F19" s="47">
        <f t="shared" si="4"/>
        <v>0</v>
      </c>
      <c r="G19" s="27">
        <f>IF(VLOOKUP(A19,Wechsel!$A$11:$E$31,1)=A19,VLOOKUP(A19,Wechsel!$A$11:$E$31,1),0)</f>
        <v>9</v>
      </c>
      <c r="H19" s="35">
        <f>IF(G19&gt;0,VLOOKUP(A19,Wechsel!$A$11:$E$31,3),H18)</f>
        <v>0</v>
      </c>
      <c r="I19" s="35">
        <f>IF(G19&gt;0,VLOOKUP(A19,Wechsel!$A$11:$E$31,4),I18)</f>
        <v>0</v>
      </c>
      <c r="J19" s="35">
        <f>IF(G19&gt;0,VLOOKUP(A19,Wechsel!$A$11:$E$31,5),J18)</f>
        <v>1</v>
      </c>
      <c r="K19" s="52">
        <f t="shared" si="9"/>
        <v>0</v>
      </c>
      <c r="L19" s="53">
        <f t="shared" si="10"/>
        <v>0</v>
      </c>
      <c r="M19" s="54">
        <f t="shared" si="5"/>
        <v>-47.228999999999999</v>
      </c>
      <c r="N19" s="59">
        <f t="shared" si="6"/>
        <v>1</v>
      </c>
      <c r="O19" s="53">
        <f t="shared" si="11"/>
        <v>42.506100000000004</v>
      </c>
      <c r="P19" s="52">
        <f>MAX(P18-Eingabe!$E$28,0)</f>
        <v>0</v>
      </c>
      <c r="Q19" s="60">
        <f t="shared" si="12"/>
        <v>11.210983875</v>
      </c>
      <c r="R19" s="60">
        <f>MAX(IF(G19&gt;0,(H19*$G$4+I19*$H$4+J19*$I$4)*(F19-Q19),0),0)</f>
        <v>0</v>
      </c>
      <c r="S19" s="60">
        <f>Eingabe!$C$25+Eingabe!$E$25*'Berechnung Ratierlich heute'!F19</f>
        <v>39</v>
      </c>
      <c r="T19" s="4">
        <f>F19-Q19-R19-S19</f>
        <v>-50.210983874999997</v>
      </c>
    </row>
    <row r="20" spans="1:20">
      <c r="A20" s="27">
        <v>10</v>
      </c>
      <c r="B20" s="5">
        <f t="shared" si="1"/>
        <v>0.01</v>
      </c>
      <c r="C20" s="40">
        <f t="shared" si="0"/>
        <v>0</v>
      </c>
      <c r="D20" s="40">
        <f t="shared" si="2"/>
        <v>0</v>
      </c>
      <c r="E20" s="47">
        <f t="shared" si="3"/>
        <v>0</v>
      </c>
      <c r="F20" s="47">
        <f t="shared" si="4"/>
        <v>0</v>
      </c>
      <c r="G20" s="27">
        <f>IF(VLOOKUP(A20,Wechsel!$A$11:$E$31,1)=A20,VLOOKUP(A20,Wechsel!$A$11:$E$31,1),0)</f>
        <v>0</v>
      </c>
      <c r="H20" s="35">
        <f>IF(G20&gt;0,VLOOKUP(A20,Wechsel!$A$11:$E$31,3),H19)</f>
        <v>0</v>
      </c>
      <c r="I20" s="35">
        <f>IF(G20&gt;0,VLOOKUP(A20,Wechsel!$A$11:$E$31,4),I19)</f>
        <v>0</v>
      </c>
      <c r="J20" s="35">
        <f>IF(G20&gt;0,VLOOKUP(A20,Wechsel!$A$11:$E$31,5),J19)</f>
        <v>1</v>
      </c>
      <c r="K20" s="52">
        <f t="shared" si="9"/>
        <v>0</v>
      </c>
      <c r="L20" s="53">
        <f t="shared" si="10"/>
        <v>0</v>
      </c>
      <c r="M20" s="54">
        <f t="shared" si="5"/>
        <v>-50.210983874999997</v>
      </c>
      <c r="N20" s="59">
        <f t="shared" si="6"/>
        <v>1</v>
      </c>
      <c r="O20" s="53">
        <f t="shared" si="11"/>
        <v>0</v>
      </c>
      <c r="P20" s="52">
        <f>MAX(P19-Eingabe!$E$28,0)</f>
        <v>0</v>
      </c>
      <c r="Q20" s="60">
        <f t="shared" si="12"/>
        <v>0</v>
      </c>
      <c r="R20" s="60">
        <f t="shared" ref="R20:R60" si="13">MAX(IF(G20&gt;0,(H20*$G$4+I20*$H$4+J20*$I$4)*(F20-Q20),0),0)</f>
        <v>0</v>
      </c>
      <c r="S20" s="60">
        <f>Eingabe!$C$25+Eingabe!$E$25*'Berechnung Ratierlich heute'!F20</f>
        <v>39</v>
      </c>
      <c r="T20" s="4">
        <f t="shared" si="8"/>
        <v>-39</v>
      </c>
    </row>
    <row r="21" spans="1:20">
      <c r="A21" s="27">
        <v>11</v>
      </c>
      <c r="B21" s="5">
        <f t="shared" si="1"/>
        <v>0.01</v>
      </c>
      <c r="C21" s="40">
        <f t="shared" si="0"/>
        <v>0</v>
      </c>
      <c r="D21" s="40">
        <f t="shared" si="2"/>
        <v>0</v>
      </c>
      <c r="E21" s="47">
        <f t="shared" si="3"/>
        <v>0</v>
      </c>
      <c r="F21" s="47">
        <f t="shared" si="4"/>
        <v>0</v>
      </c>
      <c r="G21" s="27">
        <f>IF(VLOOKUP(A21,Wechsel!$A$11:$E$31,1)=A21,VLOOKUP(A21,Wechsel!$A$11:$E$31,1),0)</f>
        <v>0</v>
      </c>
      <c r="H21" s="35">
        <f>IF(G21&gt;0,VLOOKUP(A21,Wechsel!$A$11:$E$31,3),H20)</f>
        <v>0</v>
      </c>
      <c r="I21" s="35">
        <f>IF(G21&gt;0,VLOOKUP(A21,Wechsel!$A$11:$E$31,4),I20)</f>
        <v>0</v>
      </c>
      <c r="J21" s="35">
        <f>IF(G21&gt;0,VLOOKUP(A21,Wechsel!$A$11:$E$31,5),J20)</f>
        <v>1</v>
      </c>
      <c r="K21" s="52">
        <f t="shared" si="9"/>
        <v>0</v>
      </c>
      <c r="L21" s="53">
        <f t="shared" si="10"/>
        <v>0</v>
      </c>
      <c r="M21" s="54">
        <f t="shared" si="5"/>
        <v>-50.210983874999997</v>
      </c>
      <c r="N21" s="59">
        <f t="shared" si="6"/>
        <v>1</v>
      </c>
      <c r="O21" s="53">
        <f t="shared" si="11"/>
        <v>0</v>
      </c>
      <c r="P21" s="52">
        <f>MAX(P20-Eingabe!$E$28,0)</f>
        <v>0</v>
      </c>
      <c r="Q21" s="60">
        <f t="shared" si="12"/>
        <v>0</v>
      </c>
      <c r="R21" s="60">
        <f t="shared" si="13"/>
        <v>0</v>
      </c>
      <c r="S21" s="60">
        <f>Eingabe!$C$25+Eingabe!$E$25*'Berechnung Ratierlich heute'!F21</f>
        <v>39</v>
      </c>
      <c r="T21" s="4">
        <f t="shared" si="8"/>
        <v>-39</v>
      </c>
    </row>
    <row r="22" spans="1:20">
      <c r="A22" s="27">
        <v>12</v>
      </c>
      <c r="B22" s="5">
        <f t="shared" si="1"/>
        <v>0.01</v>
      </c>
      <c r="C22" s="40">
        <f t="shared" si="0"/>
        <v>0</v>
      </c>
      <c r="D22" s="40">
        <f t="shared" si="2"/>
        <v>0</v>
      </c>
      <c r="E22" s="47">
        <f t="shared" si="3"/>
        <v>0</v>
      </c>
      <c r="F22" s="47">
        <f t="shared" si="4"/>
        <v>0</v>
      </c>
      <c r="G22" s="27">
        <f>IF(VLOOKUP(A22,Wechsel!$A$11:$E$31,1)=A22,VLOOKUP(A22,Wechsel!$A$11:$E$31,1),0)</f>
        <v>0</v>
      </c>
      <c r="H22" s="35">
        <f>IF(G22&gt;0,VLOOKUP(A22,Wechsel!$A$11:$E$31,3),H21)</f>
        <v>0</v>
      </c>
      <c r="I22" s="35">
        <f>IF(G22&gt;0,VLOOKUP(A22,Wechsel!$A$11:$E$31,4),I21)</f>
        <v>0</v>
      </c>
      <c r="J22" s="35">
        <f>IF(G22&gt;0,VLOOKUP(A22,Wechsel!$A$11:$E$31,5),J21)</f>
        <v>1</v>
      </c>
      <c r="K22" s="52">
        <f t="shared" si="9"/>
        <v>0</v>
      </c>
      <c r="L22" s="53">
        <f t="shared" si="10"/>
        <v>0</v>
      </c>
      <c r="M22" s="54">
        <f t="shared" si="5"/>
        <v>-50.210983874999997</v>
      </c>
      <c r="N22" s="59">
        <f t="shared" si="6"/>
        <v>1</v>
      </c>
      <c r="O22" s="53">
        <f t="shared" si="11"/>
        <v>0</v>
      </c>
      <c r="P22" s="52">
        <f>MAX(P21-Eingabe!$E$28,0)</f>
        <v>0</v>
      </c>
      <c r="Q22" s="60">
        <f t="shared" si="12"/>
        <v>0</v>
      </c>
      <c r="R22" s="60">
        <f t="shared" si="13"/>
        <v>0</v>
      </c>
      <c r="S22" s="60">
        <f>Eingabe!$C$25+Eingabe!$E$25*'Berechnung Ratierlich heute'!F22</f>
        <v>39</v>
      </c>
      <c r="T22" s="4">
        <f t="shared" si="8"/>
        <v>-39</v>
      </c>
    </row>
    <row r="23" spans="1:20">
      <c r="A23" s="27">
        <v>13</v>
      </c>
      <c r="B23" s="5">
        <f t="shared" si="1"/>
        <v>0.01</v>
      </c>
      <c r="C23" s="40">
        <f t="shared" si="0"/>
        <v>0</v>
      </c>
      <c r="D23" s="40">
        <f t="shared" si="2"/>
        <v>0</v>
      </c>
      <c r="E23" s="47">
        <f t="shared" si="3"/>
        <v>0</v>
      </c>
      <c r="F23" s="47">
        <f t="shared" si="4"/>
        <v>0</v>
      </c>
      <c r="G23" s="27">
        <f>IF(VLOOKUP(A23,Wechsel!$A$11:$E$31,1)=A23,VLOOKUP(A23,Wechsel!$A$11:$E$31,1),0)</f>
        <v>0</v>
      </c>
      <c r="H23" s="35">
        <f>IF(G23&gt;0,VLOOKUP(A23,Wechsel!$A$11:$E$31,3),H22)</f>
        <v>0</v>
      </c>
      <c r="I23" s="35">
        <f>IF(G23&gt;0,VLOOKUP(A23,Wechsel!$A$11:$E$31,4),I22)</f>
        <v>0</v>
      </c>
      <c r="J23" s="35">
        <f>IF(G23&gt;0,VLOOKUP(A23,Wechsel!$A$11:$E$31,5),J22)</f>
        <v>1</v>
      </c>
      <c r="K23" s="52">
        <f t="shared" si="9"/>
        <v>0</v>
      </c>
      <c r="L23" s="53">
        <f t="shared" si="10"/>
        <v>0</v>
      </c>
      <c r="M23" s="54">
        <f t="shared" si="5"/>
        <v>0</v>
      </c>
      <c r="N23" s="59">
        <f t="shared" si="6"/>
        <v>1</v>
      </c>
      <c r="O23" s="53">
        <f t="shared" si="11"/>
        <v>0</v>
      </c>
      <c r="P23" s="52">
        <f>MAX(P22-Eingabe!$E$28,0)</f>
        <v>0</v>
      </c>
      <c r="Q23" s="60">
        <f t="shared" si="12"/>
        <v>0</v>
      </c>
      <c r="R23" s="60">
        <f t="shared" si="13"/>
        <v>0</v>
      </c>
      <c r="S23" s="60">
        <f>Eingabe!$C$25+Eingabe!$E$25*'Berechnung Ratierlich heute'!F23</f>
        <v>39</v>
      </c>
      <c r="T23" s="4">
        <f t="shared" si="8"/>
        <v>-39</v>
      </c>
    </row>
    <row r="24" spans="1:20">
      <c r="A24" s="27">
        <v>14</v>
      </c>
      <c r="B24" s="5">
        <f t="shared" si="1"/>
        <v>0.01</v>
      </c>
      <c r="C24" s="40">
        <f t="shared" si="0"/>
        <v>0</v>
      </c>
      <c r="D24" s="40">
        <f t="shared" si="2"/>
        <v>0</v>
      </c>
      <c r="E24" s="47">
        <f t="shared" si="3"/>
        <v>0</v>
      </c>
      <c r="F24" s="47">
        <f t="shared" si="4"/>
        <v>0</v>
      </c>
      <c r="G24" s="27">
        <f>IF(VLOOKUP(A24,Wechsel!$A$11:$E$31,1)=A24,VLOOKUP(A24,Wechsel!$A$11:$E$31,1),0)</f>
        <v>0</v>
      </c>
      <c r="H24" s="35">
        <f>IF(G24&gt;0,VLOOKUP(A24,Wechsel!$A$11:$E$31,3),H23)</f>
        <v>0</v>
      </c>
      <c r="I24" s="35">
        <f>IF(G24&gt;0,VLOOKUP(A24,Wechsel!$A$11:$E$31,4),I23)</f>
        <v>0</v>
      </c>
      <c r="J24" s="35">
        <f>IF(G24&gt;0,VLOOKUP(A24,Wechsel!$A$11:$E$31,5),J23)</f>
        <v>1</v>
      </c>
      <c r="K24" s="52">
        <f t="shared" si="9"/>
        <v>0</v>
      </c>
      <c r="L24" s="53">
        <f t="shared" si="10"/>
        <v>0</v>
      </c>
      <c r="M24" s="54">
        <f t="shared" si="5"/>
        <v>0</v>
      </c>
      <c r="N24" s="59">
        <f t="shared" si="6"/>
        <v>1</v>
      </c>
      <c r="O24" s="53">
        <f t="shared" si="11"/>
        <v>0</v>
      </c>
      <c r="P24" s="52">
        <f>MAX(P23-Eingabe!$E$28,0)</f>
        <v>0</v>
      </c>
      <c r="Q24" s="60">
        <f t="shared" si="12"/>
        <v>0</v>
      </c>
      <c r="R24" s="60">
        <f t="shared" si="13"/>
        <v>0</v>
      </c>
      <c r="S24" s="60">
        <f>Eingabe!$C$25+Eingabe!$E$25*'Berechnung Ratierlich heute'!F24</f>
        <v>39</v>
      </c>
      <c r="T24" s="4">
        <f t="shared" si="8"/>
        <v>-39</v>
      </c>
    </row>
    <row r="25" spans="1:20">
      <c r="A25" s="27">
        <v>15</v>
      </c>
      <c r="B25" s="5">
        <f t="shared" si="1"/>
        <v>0.01</v>
      </c>
      <c r="C25" s="40">
        <f t="shared" si="0"/>
        <v>0</v>
      </c>
      <c r="D25" s="40">
        <f t="shared" si="2"/>
        <v>0</v>
      </c>
      <c r="E25" s="47">
        <f t="shared" si="3"/>
        <v>0</v>
      </c>
      <c r="F25" s="47">
        <f t="shared" si="4"/>
        <v>0</v>
      </c>
      <c r="G25" s="27">
        <f>IF(VLOOKUP(A25,Wechsel!$A$11:$E$31,1)=A25,VLOOKUP(A25,Wechsel!$A$11:$E$31,1),0)</f>
        <v>0</v>
      </c>
      <c r="H25" s="35">
        <f>IF(G25&gt;0,VLOOKUP(A25,Wechsel!$A$11:$E$31,3),H24)</f>
        <v>0</v>
      </c>
      <c r="I25" s="35">
        <f>IF(G25&gt;0,VLOOKUP(A25,Wechsel!$A$11:$E$31,4),I24)</f>
        <v>0</v>
      </c>
      <c r="J25" s="35">
        <f>IF(G25&gt;0,VLOOKUP(A25,Wechsel!$A$11:$E$31,5),J24)</f>
        <v>1</v>
      </c>
      <c r="K25" s="52">
        <f t="shared" si="9"/>
        <v>0</v>
      </c>
      <c r="L25" s="53">
        <f t="shared" si="10"/>
        <v>0</v>
      </c>
      <c r="M25" s="54">
        <f t="shared" si="5"/>
        <v>0</v>
      </c>
      <c r="N25" s="59">
        <f t="shared" si="6"/>
        <v>1</v>
      </c>
      <c r="O25" s="53">
        <f t="shared" si="11"/>
        <v>0</v>
      </c>
      <c r="P25" s="52">
        <f>MAX(P24-Eingabe!$E$28,0)</f>
        <v>0</v>
      </c>
      <c r="Q25" s="60">
        <f t="shared" si="12"/>
        <v>0</v>
      </c>
      <c r="R25" s="60">
        <f t="shared" si="13"/>
        <v>0</v>
      </c>
      <c r="S25" s="60">
        <f>Eingabe!$C$25+Eingabe!$E$25*'Berechnung Ratierlich heute'!F25</f>
        <v>39</v>
      </c>
      <c r="T25" s="4">
        <f t="shared" si="8"/>
        <v>-39</v>
      </c>
    </row>
    <row r="26" spans="1:20">
      <c r="A26" s="27">
        <v>16</v>
      </c>
      <c r="B26" s="5">
        <f t="shared" si="1"/>
        <v>0.01</v>
      </c>
      <c r="C26" s="40">
        <f t="shared" si="0"/>
        <v>0</v>
      </c>
      <c r="D26" s="40">
        <f t="shared" si="2"/>
        <v>0</v>
      </c>
      <c r="E26" s="47">
        <f t="shared" si="3"/>
        <v>0</v>
      </c>
      <c r="F26" s="47">
        <f t="shared" si="4"/>
        <v>0</v>
      </c>
      <c r="G26" s="27">
        <f>IF(VLOOKUP(A26,Wechsel!$A$11:$E$31,1)=A26,VLOOKUP(A26,Wechsel!$A$11:$E$31,1),0)</f>
        <v>0</v>
      </c>
      <c r="H26" s="35">
        <f>IF(G26&gt;0,VLOOKUP(A26,Wechsel!$A$11:$E$31,3),H25)</f>
        <v>0</v>
      </c>
      <c r="I26" s="35">
        <f>IF(G26&gt;0,VLOOKUP(A26,Wechsel!$A$11:$E$31,4),I25)</f>
        <v>0</v>
      </c>
      <c r="J26" s="35">
        <f>IF(G26&gt;0,VLOOKUP(A26,Wechsel!$A$11:$E$31,5),J25)</f>
        <v>1</v>
      </c>
      <c r="K26" s="52">
        <f t="shared" si="9"/>
        <v>0</v>
      </c>
      <c r="L26" s="53">
        <f t="shared" si="10"/>
        <v>0</v>
      </c>
      <c r="M26" s="54">
        <f t="shared" si="5"/>
        <v>0</v>
      </c>
      <c r="N26" s="59">
        <f t="shared" si="6"/>
        <v>1</v>
      </c>
      <c r="O26" s="53">
        <f t="shared" si="11"/>
        <v>0</v>
      </c>
      <c r="P26" s="52">
        <f>MAX(P25-Eingabe!$E$28,0)</f>
        <v>0</v>
      </c>
      <c r="Q26" s="60">
        <f t="shared" si="12"/>
        <v>0</v>
      </c>
      <c r="R26" s="60">
        <f t="shared" si="13"/>
        <v>0</v>
      </c>
      <c r="S26" s="60">
        <f>Eingabe!$C$25+Eingabe!$E$25*'Berechnung Ratierlich heute'!F26</f>
        <v>39</v>
      </c>
      <c r="T26" s="4">
        <f t="shared" si="8"/>
        <v>-39</v>
      </c>
    </row>
    <row r="27" spans="1:20">
      <c r="A27" s="27">
        <v>17</v>
      </c>
      <c r="B27" s="5">
        <f t="shared" si="1"/>
        <v>0.01</v>
      </c>
      <c r="C27" s="40">
        <f t="shared" si="0"/>
        <v>0</v>
      </c>
      <c r="D27" s="40">
        <f t="shared" si="2"/>
        <v>0</v>
      </c>
      <c r="E27" s="47">
        <f t="shared" si="3"/>
        <v>0</v>
      </c>
      <c r="F27" s="47">
        <f t="shared" si="4"/>
        <v>0</v>
      </c>
      <c r="G27" s="27">
        <f>IF(VLOOKUP(A27,Wechsel!$A$11:$E$31,1)=A27,VLOOKUP(A27,Wechsel!$A$11:$E$31,1),0)</f>
        <v>0</v>
      </c>
      <c r="H27" s="35">
        <f>IF(G27&gt;0,VLOOKUP(A27,Wechsel!$A$11:$E$31,3),H26)</f>
        <v>0</v>
      </c>
      <c r="I27" s="35">
        <f>IF(G27&gt;0,VLOOKUP(A27,Wechsel!$A$11:$E$31,4),I26)</f>
        <v>0</v>
      </c>
      <c r="J27" s="35">
        <f>IF(G27&gt;0,VLOOKUP(A27,Wechsel!$A$11:$E$31,5),J26)</f>
        <v>1</v>
      </c>
      <c r="K27" s="52">
        <f t="shared" si="9"/>
        <v>0</v>
      </c>
      <c r="L27" s="53">
        <f t="shared" si="10"/>
        <v>0</v>
      </c>
      <c r="M27" s="54">
        <f t="shared" si="5"/>
        <v>0</v>
      </c>
      <c r="N27" s="59">
        <f t="shared" si="6"/>
        <v>1</v>
      </c>
      <c r="O27" s="53">
        <f t="shared" si="11"/>
        <v>0</v>
      </c>
      <c r="P27" s="52">
        <f>MAX(P26-Eingabe!$E$28,0)</f>
        <v>0</v>
      </c>
      <c r="Q27" s="60">
        <f t="shared" si="12"/>
        <v>0</v>
      </c>
      <c r="R27" s="60">
        <f t="shared" si="13"/>
        <v>0</v>
      </c>
      <c r="S27" s="60">
        <f>Eingabe!$C$25+Eingabe!$E$25*'Berechnung Ratierlich heute'!F27</f>
        <v>39</v>
      </c>
      <c r="T27" s="4">
        <f t="shared" si="8"/>
        <v>-39</v>
      </c>
    </row>
    <row r="28" spans="1:20">
      <c r="A28" s="27">
        <v>18</v>
      </c>
      <c r="B28" s="5">
        <f t="shared" si="1"/>
        <v>0.01</v>
      </c>
      <c r="C28" s="40">
        <f t="shared" si="0"/>
        <v>0</v>
      </c>
      <c r="D28" s="40">
        <f t="shared" si="2"/>
        <v>0</v>
      </c>
      <c r="E28" s="47">
        <f t="shared" si="3"/>
        <v>0</v>
      </c>
      <c r="F28" s="47">
        <f t="shared" si="4"/>
        <v>0</v>
      </c>
      <c r="G28" s="27">
        <f>IF(VLOOKUP(A28,Wechsel!$A$11:$E$31,1)=A28,VLOOKUP(A28,Wechsel!$A$11:$E$31,1),0)</f>
        <v>0</v>
      </c>
      <c r="H28" s="35">
        <f>IF(G28&gt;0,VLOOKUP(A28,Wechsel!$A$11:$E$31,3),H27)</f>
        <v>0</v>
      </c>
      <c r="I28" s="35">
        <f>IF(G28&gt;0,VLOOKUP(A28,Wechsel!$A$11:$E$31,4),I27)</f>
        <v>0</v>
      </c>
      <c r="J28" s="35">
        <f>IF(G28&gt;0,VLOOKUP(A28,Wechsel!$A$11:$E$31,5),J27)</f>
        <v>1</v>
      </c>
      <c r="K28" s="52">
        <f t="shared" si="9"/>
        <v>0</v>
      </c>
      <c r="L28" s="53">
        <f t="shared" si="10"/>
        <v>0</v>
      </c>
      <c r="M28" s="54">
        <f t="shared" si="5"/>
        <v>0</v>
      </c>
      <c r="N28" s="59">
        <f t="shared" si="6"/>
        <v>1</v>
      </c>
      <c r="O28" s="53">
        <f t="shared" si="11"/>
        <v>0</v>
      </c>
      <c r="P28" s="52">
        <f>MAX(P27-Eingabe!$E$28,0)</f>
        <v>0</v>
      </c>
      <c r="Q28" s="60">
        <f t="shared" si="12"/>
        <v>0</v>
      </c>
      <c r="R28" s="60">
        <f t="shared" si="13"/>
        <v>0</v>
      </c>
      <c r="S28" s="60">
        <f>Eingabe!$C$25+Eingabe!$E$25*'Berechnung Ratierlich heute'!F28</f>
        <v>39</v>
      </c>
      <c r="T28" s="4">
        <f t="shared" si="8"/>
        <v>-39</v>
      </c>
    </row>
    <row r="29" spans="1:20">
      <c r="A29" s="27">
        <v>19</v>
      </c>
      <c r="B29" s="5">
        <f t="shared" si="1"/>
        <v>0.01</v>
      </c>
      <c r="C29" s="40">
        <f t="shared" si="0"/>
        <v>0</v>
      </c>
      <c r="D29" s="40">
        <f t="shared" si="2"/>
        <v>0</v>
      </c>
      <c r="E29" s="47">
        <f t="shared" si="3"/>
        <v>0</v>
      </c>
      <c r="F29" s="47">
        <f t="shared" si="4"/>
        <v>0</v>
      </c>
      <c r="G29" s="27">
        <f>IF(VLOOKUP(A29,Wechsel!$A$11:$E$31,1)=A29,VLOOKUP(A29,Wechsel!$A$11:$E$31,1),0)</f>
        <v>0</v>
      </c>
      <c r="H29" s="35">
        <f>IF(G29&gt;0,VLOOKUP(A29,Wechsel!$A$11:$E$31,3),H28)</f>
        <v>0</v>
      </c>
      <c r="I29" s="35">
        <f>IF(G29&gt;0,VLOOKUP(A29,Wechsel!$A$11:$E$31,4),I28)</f>
        <v>0</v>
      </c>
      <c r="J29" s="35">
        <f>IF(G29&gt;0,VLOOKUP(A29,Wechsel!$A$11:$E$31,5),J28)</f>
        <v>1</v>
      </c>
      <c r="K29" s="52">
        <f t="shared" si="9"/>
        <v>0</v>
      </c>
      <c r="L29" s="53">
        <f t="shared" si="10"/>
        <v>0</v>
      </c>
      <c r="M29" s="54">
        <f t="shared" si="5"/>
        <v>0</v>
      </c>
      <c r="N29" s="59">
        <f t="shared" si="6"/>
        <v>1</v>
      </c>
      <c r="O29" s="53">
        <f t="shared" si="11"/>
        <v>0</v>
      </c>
      <c r="P29" s="52">
        <f>MAX(P28-Eingabe!$E$28,0)</f>
        <v>0</v>
      </c>
      <c r="Q29" s="60">
        <f t="shared" si="12"/>
        <v>0</v>
      </c>
      <c r="R29" s="60">
        <f t="shared" si="13"/>
        <v>0</v>
      </c>
      <c r="S29" s="60">
        <f>Eingabe!$C$25+Eingabe!$E$25*'Berechnung Ratierlich heute'!F29</f>
        <v>39</v>
      </c>
      <c r="T29" s="4">
        <f t="shared" si="8"/>
        <v>-39</v>
      </c>
    </row>
    <row r="30" spans="1:20">
      <c r="A30" s="27">
        <v>20</v>
      </c>
      <c r="B30" s="5">
        <f t="shared" si="1"/>
        <v>0.01</v>
      </c>
      <c r="C30" s="40">
        <f t="shared" si="0"/>
        <v>0</v>
      </c>
      <c r="D30" s="40">
        <f t="shared" si="2"/>
        <v>0</v>
      </c>
      <c r="E30" s="47">
        <f t="shared" si="3"/>
        <v>0</v>
      </c>
      <c r="F30" s="47">
        <f t="shared" si="4"/>
        <v>0</v>
      </c>
      <c r="G30" s="27">
        <f>IF(VLOOKUP(A30,Wechsel!$A$11:$E$31,1)=A30,VLOOKUP(A30,Wechsel!$A$11:$E$31,1),0)</f>
        <v>0</v>
      </c>
      <c r="H30" s="35">
        <f>IF(G30&gt;0,VLOOKUP(A30,Wechsel!$A$11:$E$31,3),H29)</f>
        <v>0</v>
      </c>
      <c r="I30" s="35">
        <f>IF(G30&gt;0,VLOOKUP(A30,Wechsel!$A$11:$E$31,4),I29)</f>
        <v>0</v>
      </c>
      <c r="J30" s="35">
        <f>IF(G30&gt;0,VLOOKUP(A30,Wechsel!$A$11:$E$31,5),J29)</f>
        <v>1</v>
      </c>
      <c r="K30" s="52">
        <f t="shared" si="9"/>
        <v>0</v>
      </c>
      <c r="L30" s="53">
        <f t="shared" si="10"/>
        <v>0</v>
      </c>
      <c r="M30" s="54">
        <f t="shared" si="5"/>
        <v>0</v>
      </c>
      <c r="N30" s="59">
        <f t="shared" si="6"/>
        <v>1</v>
      </c>
      <c r="O30" s="53">
        <f t="shared" si="11"/>
        <v>0</v>
      </c>
      <c r="P30" s="52">
        <f>MAX(P29-Eingabe!$E$28,0)</f>
        <v>0</v>
      </c>
      <c r="Q30" s="60">
        <f t="shared" si="12"/>
        <v>0</v>
      </c>
      <c r="R30" s="60">
        <f t="shared" si="13"/>
        <v>0</v>
      </c>
      <c r="S30" s="60">
        <f>Eingabe!$C$25+Eingabe!$E$25*'Berechnung Ratierlich heute'!F30</f>
        <v>39</v>
      </c>
      <c r="T30" s="4">
        <f t="shared" si="8"/>
        <v>-39</v>
      </c>
    </row>
    <row r="31" spans="1:20">
      <c r="A31" s="27">
        <v>21</v>
      </c>
      <c r="B31" s="5">
        <f t="shared" si="1"/>
        <v>0.01</v>
      </c>
      <c r="C31" s="40">
        <f t="shared" si="0"/>
        <v>0</v>
      </c>
      <c r="D31" s="40">
        <f t="shared" si="2"/>
        <v>0</v>
      </c>
      <c r="E31" s="47">
        <f t="shared" si="3"/>
        <v>0</v>
      </c>
      <c r="F31" s="47">
        <f t="shared" si="4"/>
        <v>0</v>
      </c>
      <c r="G31" s="27">
        <f>IF(VLOOKUP(A31,Wechsel!$A$11:$E$31,1)=A31,VLOOKUP(A31,Wechsel!$A$11:$E$31,1),0)</f>
        <v>0</v>
      </c>
      <c r="H31" s="35">
        <f>IF(G31&gt;0,VLOOKUP(A31,Wechsel!$A$11:$E$31,3),H30)</f>
        <v>0</v>
      </c>
      <c r="I31" s="35">
        <f>IF(G31&gt;0,VLOOKUP(A31,Wechsel!$A$11:$E$31,4),I30)</f>
        <v>0</v>
      </c>
      <c r="J31" s="35">
        <f>IF(G31&gt;0,VLOOKUP(A31,Wechsel!$A$11:$E$31,5),J30)</f>
        <v>1</v>
      </c>
      <c r="K31" s="52">
        <f t="shared" si="9"/>
        <v>0</v>
      </c>
      <c r="L31" s="53">
        <f t="shared" si="10"/>
        <v>0</v>
      </c>
      <c r="M31" s="54">
        <f t="shared" si="5"/>
        <v>0</v>
      </c>
      <c r="N31" s="59">
        <f t="shared" si="6"/>
        <v>1</v>
      </c>
      <c r="O31" s="53">
        <f t="shared" si="11"/>
        <v>0</v>
      </c>
      <c r="P31" s="52">
        <f>MAX(P30-Eingabe!$E$28,0)</f>
        <v>0</v>
      </c>
      <c r="Q31" s="60">
        <f t="shared" si="12"/>
        <v>0</v>
      </c>
      <c r="R31" s="60">
        <f t="shared" si="13"/>
        <v>0</v>
      </c>
      <c r="S31" s="60">
        <f>Eingabe!$C$25+Eingabe!$E$25*'Berechnung Ratierlich heute'!F31</f>
        <v>39</v>
      </c>
      <c r="T31" s="4">
        <f t="shared" si="8"/>
        <v>-39</v>
      </c>
    </row>
    <row r="32" spans="1:20">
      <c r="A32" s="27">
        <v>22</v>
      </c>
      <c r="B32" s="5">
        <f t="shared" si="1"/>
        <v>0.01</v>
      </c>
      <c r="C32" s="40">
        <f t="shared" si="0"/>
        <v>0</v>
      </c>
      <c r="D32" s="40">
        <f t="shared" si="2"/>
        <v>0</v>
      </c>
      <c r="E32" s="47">
        <f t="shared" si="3"/>
        <v>0</v>
      </c>
      <c r="F32" s="47">
        <f t="shared" si="4"/>
        <v>0</v>
      </c>
      <c r="G32" s="27">
        <f>IF(VLOOKUP(A32,Wechsel!$A$11:$E$31,1)=A32,VLOOKUP(A32,Wechsel!$A$11:$E$31,1),0)</f>
        <v>0</v>
      </c>
      <c r="H32" s="35">
        <f>IF(G32&gt;0,VLOOKUP(A32,Wechsel!$A$11:$E$31,3),H31)</f>
        <v>0</v>
      </c>
      <c r="I32" s="35">
        <f>IF(G32&gt;0,VLOOKUP(A32,Wechsel!$A$11:$E$31,4),I31)</f>
        <v>0</v>
      </c>
      <c r="J32" s="35">
        <f>IF(G32&gt;0,VLOOKUP(A32,Wechsel!$A$11:$E$31,5),J31)</f>
        <v>1</v>
      </c>
      <c r="K32" s="52">
        <f t="shared" si="9"/>
        <v>0</v>
      </c>
      <c r="L32" s="53">
        <f t="shared" si="10"/>
        <v>0</v>
      </c>
      <c r="M32" s="54">
        <f t="shared" si="5"/>
        <v>0</v>
      </c>
      <c r="N32" s="59">
        <f t="shared" si="6"/>
        <v>1</v>
      </c>
      <c r="O32" s="53">
        <f t="shared" si="11"/>
        <v>0</v>
      </c>
      <c r="P32" s="52">
        <f>MAX(P31-Eingabe!$E$28,0)</f>
        <v>0</v>
      </c>
      <c r="Q32" s="60">
        <f t="shared" si="12"/>
        <v>0</v>
      </c>
      <c r="R32" s="60">
        <f t="shared" si="13"/>
        <v>0</v>
      </c>
      <c r="S32" s="60">
        <f>Eingabe!$C$25+Eingabe!$E$25*'Berechnung Ratierlich heute'!F32</f>
        <v>39</v>
      </c>
      <c r="T32" s="4">
        <f t="shared" si="8"/>
        <v>-39</v>
      </c>
    </row>
    <row r="33" spans="1:20">
      <c r="A33" s="27">
        <v>23</v>
      </c>
      <c r="B33" s="5">
        <f t="shared" si="1"/>
        <v>0.01</v>
      </c>
      <c r="C33" s="40">
        <f t="shared" si="0"/>
        <v>0</v>
      </c>
      <c r="D33" s="40">
        <f t="shared" si="2"/>
        <v>0</v>
      </c>
      <c r="E33" s="47">
        <f t="shared" si="3"/>
        <v>0</v>
      </c>
      <c r="F33" s="47">
        <f t="shared" si="4"/>
        <v>0</v>
      </c>
      <c r="G33" s="27">
        <f>IF(VLOOKUP(A33,Wechsel!$A$11:$E$31,1)=A33,VLOOKUP(A33,Wechsel!$A$11:$E$31,1),0)</f>
        <v>0</v>
      </c>
      <c r="H33" s="35">
        <f>IF(G33&gt;0,VLOOKUP(A33,Wechsel!$A$11:$E$31,3),H32)</f>
        <v>0</v>
      </c>
      <c r="I33" s="35">
        <f>IF(G33&gt;0,VLOOKUP(A33,Wechsel!$A$11:$E$31,4),I32)</f>
        <v>0</v>
      </c>
      <c r="J33" s="35">
        <f>IF(G33&gt;0,VLOOKUP(A33,Wechsel!$A$11:$E$31,5),J32)</f>
        <v>1</v>
      </c>
      <c r="K33" s="52">
        <f t="shared" si="9"/>
        <v>0</v>
      </c>
      <c r="L33" s="53">
        <f t="shared" si="10"/>
        <v>0</v>
      </c>
      <c r="M33" s="54">
        <f t="shared" si="5"/>
        <v>0</v>
      </c>
      <c r="N33" s="59">
        <f t="shared" si="6"/>
        <v>1</v>
      </c>
      <c r="O33" s="53">
        <f t="shared" si="11"/>
        <v>0</v>
      </c>
      <c r="P33" s="52">
        <f>MAX(P32-Eingabe!$E$28,0)</f>
        <v>0</v>
      </c>
      <c r="Q33" s="60">
        <f t="shared" ref="Q33:Q60" si="14">MAX(0,K33+O33*$M$2-P33-IF(G33&gt;0,-(L32+K33),0))</f>
        <v>0</v>
      </c>
      <c r="R33" s="60">
        <f t="shared" si="13"/>
        <v>0</v>
      </c>
      <c r="S33" s="60">
        <f>Eingabe!$C$25+Eingabe!$E$25*'Berechnung Ratierlich heute'!F33</f>
        <v>39</v>
      </c>
      <c r="T33" s="4">
        <f t="shared" si="8"/>
        <v>-39</v>
      </c>
    </row>
    <row r="34" spans="1:20">
      <c r="A34" s="27">
        <v>24</v>
      </c>
      <c r="B34" s="5">
        <f t="shared" si="1"/>
        <v>0.01</v>
      </c>
      <c r="C34" s="40">
        <f t="shared" si="0"/>
        <v>0</v>
      </c>
      <c r="D34" s="40">
        <f t="shared" si="2"/>
        <v>0</v>
      </c>
      <c r="E34" s="47">
        <f t="shared" si="3"/>
        <v>0</v>
      </c>
      <c r="F34" s="47">
        <f t="shared" si="4"/>
        <v>0</v>
      </c>
      <c r="G34" s="27">
        <f>IF(VLOOKUP(A34,Wechsel!$A$11:$E$31,1)=A34,VLOOKUP(A34,Wechsel!$A$11:$E$31,1),0)</f>
        <v>0</v>
      </c>
      <c r="H34" s="35">
        <f>IF(G34&gt;0,VLOOKUP(A34,Wechsel!$A$11:$E$31,3),H33)</f>
        <v>0</v>
      </c>
      <c r="I34" s="35">
        <f>IF(G34&gt;0,VLOOKUP(A34,Wechsel!$A$11:$E$31,4),I33)</f>
        <v>0</v>
      </c>
      <c r="J34" s="35">
        <f>IF(G34&gt;0,VLOOKUP(A34,Wechsel!$A$11:$E$31,5),J33)</f>
        <v>1</v>
      </c>
      <c r="K34" s="52">
        <f t="shared" si="9"/>
        <v>0</v>
      </c>
      <c r="L34" s="53">
        <f t="shared" si="10"/>
        <v>0</v>
      </c>
      <c r="M34" s="54">
        <f t="shared" si="5"/>
        <v>0</v>
      </c>
      <c r="N34" s="59">
        <f t="shared" si="6"/>
        <v>1</v>
      </c>
      <c r="O34" s="53">
        <f t="shared" si="11"/>
        <v>0</v>
      </c>
      <c r="P34" s="52">
        <f>MAX(P33-Eingabe!$E$28,0)</f>
        <v>0</v>
      </c>
      <c r="Q34" s="60">
        <f t="shared" si="14"/>
        <v>0</v>
      </c>
      <c r="R34" s="60">
        <f t="shared" si="13"/>
        <v>0</v>
      </c>
      <c r="S34" s="60">
        <f>Eingabe!$C$25+Eingabe!$E$25*'Berechnung Ratierlich heute'!F34</f>
        <v>39</v>
      </c>
      <c r="T34" s="4">
        <f t="shared" si="8"/>
        <v>-39</v>
      </c>
    </row>
    <row r="35" spans="1:20">
      <c r="A35" s="27">
        <v>25</v>
      </c>
      <c r="B35" s="5">
        <f t="shared" si="1"/>
        <v>0.01</v>
      </c>
      <c r="C35" s="40">
        <f t="shared" si="0"/>
        <v>0</v>
      </c>
      <c r="D35" s="40">
        <f t="shared" si="2"/>
        <v>0</v>
      </c>
      <c r="E35" s="47">
        <f t="shared" si="3"/>
        <v>0</v>
      </c>
      <c r="F35" s="47">
        <f t="shared" si="4"/>
        <v>0</v>
      </c>
      <c r="G35" s="27">
        <f>IF(VLOOKUP(A35,Wechsel!$A$11:$E$31,1)=A35,VLOOKUP(A35,Wechsel!$A$11:$E$31,1),0)</f>
        <v>0</v>
      </c>
      <c r="H35" s="35">
        <f>IF(G35&gt;0,VLOOKUP(A35,Wechsel!$A$11:$E$31,3),H34)</f>
        <v>0</v>
      </c>
      <c r="I35" s="35">
        <f>IF(G35&gt;0,VLOOKUP(A35,Wechsel!$A$11:$E$31,4),I34)</f>
        <v>0</v>
      </c>
      <c r="J35" s="35">
        <f>IF(G35&gt;0,VLOOKUP(A35,Wechsel!$A$11:$E$31,5),J34)</f>
        <v>1</v>
      </c>
      <c r="K35" s="52">
        <f t="shared" si="9"/>
        <v>0</v>
      </c>
      <c r="L35" s="53">
        <f t="shared" si="10"/>
        <v>0</v>
      </c>
      <c r="M35" s="54">
        <f t="shared" si="5"/>
        <v>0</v>
      </c>
      <c r="N35" s="59">
        <f t="shared" si="6"/>
        <v>1</v>
      </c>
      <c r="O35" s="53">
        <f t="shared" si="11"/>
        <v>0</v>
      </c>
      <c r="P35" s="52">
        <f>MAX(P34-Eingabe!$E$28,0)</f>
        <v>0</v>
      </c>
      <c r="Q35" s="60">
        <f t="shared" si="14"/>
        <v>0</v>
      </c>
      <c r="R35" s="60">
        <f t="shared" si="13"/>
        <v>0</v>
      </c>
      <c r="S35" s="60">
        <f>Eingabe!$C$25+Eingabe!$E$25*'Berechnung Ratierlich heute'!F35</f>
        <v>39</v>
      </c>
      <c r="T35" s="4">
        <f t="shared" si="8"/>
        <v>-39</v>
      </c>
    </row>
    <row r="36" spans="1:20">
      <c r="A36" s="27">
        <v>26</v>
      </c>
      <c r="B36" s="5">
        <f t="shared" si="1"/>
        <v>0.01</v>
      </c>
      <c r="C36" s="40">
        <f t="shared" si="0"/>
        <v>0</v>
      </c>
      <c r="D36" s="40">
        <f t="shared" si="2"/>
        <v>0</v>
      </c>
      <c r="E36" s="47">
        <f t="shared" si="3"/>
        <v>0</v>
      </c>
      <c r="F36" s="47">
        <f t="shared" si="4"/>
        <v>0</v>
      </c>
      <c r="G36" s="27">
        <f>IF(VLOOKUP(A36,Wechsel!$A$11:$E$31,1)=A36,VLOOKUP(A36,Wechsel!$A$11:$E$31,1),0)</f>
        <v>0</v>
      </c>
      <c r="H36" s="35">
        <f>IF(G36&gt;0,VLOOKUP(A36,Wechsel!$A$11:$E$31,3),H35)</f>
        <v>0</v>
      </c>
      <c r="I36" s="35">
        <f>IF(G36&gt;0,VLOOKUP(A36,Wechsel!$A$11:$E$31,4),I35)</f>
        <v>0</v>
      </c>
      <c r="J36" s="35">
        <f>IF(G36&gt;0,VLOOKUP(A36,Wechsel!$A$11:$E$31,5),J35)</f>
        <v>1</v>
      </c>
      <c r="K36" s="52">
        <f t="shared" si="9"/>
        <v>0</v>
      </c>
      <c r="L36" s="53">
        <f t="shared" si="10"/>
        <v>0</v>
      </c>
      <c r="M36" s="54">
        <f t="shared" si="5"/>
        <v>0</v>
      </c>
      <c r="N36" s="59">
        <f t="shared" si="6"/>
        <v>1</v>
      </c>
      <c r="O36" s="53">
        <f t="shared" si="11"/>
        <v>0</v>
      </c>
      <c r="P36" s="52">
        <f>MAX(P35-Eingabe!$E$28,0)</f>
        <v>0</v>
      </c>
      <c r="Q36" s="60">
        <f t="shared" si="14"/>
        <v>0</v>
      </c>
      <c r="R36" s="60">
        <f t="shared" si="13"/>
        <v>0</v>
      </c>
      <c r="S36" s="60">
        <f>Eingabe!$C$25+Eingabe!$E$25*'Berechnung Ratierlich heute'!F36</f>
        <v>39</v>
      </c>
      <c r="T36" s="4">
        <f t="shared" si="8"/>
        <v>-39</v>
      </c>
    </row>
    <row r="37" spans="1:20">
      <c r="A37" s="27">
        <v>27</v>
      </c>
      <c r="B37" s="5">
        <f t="shared" si="1"/>
        <v>0.01</v>
      </c>
      <c r="C37" s="40">
        <f t="shared" si="0"/>
        <v>0</v>
      </c>
      <c r="D37" s="40">
        <f t="shared" si="2"/>
        <v>0</v>
      </c>
      <c r="E37" s="47">
        <f t="shared" si="3"/>
        <v>0</v>
      </c>
      <c r="F37" s="47">
        <f t="shared" si="4"/>
        <v>0</v>
      </c>
      <c r="G37" s="27">
        <f>IF(VLOOKUP(A37,Wechsel!$A$11:$E$31,1)=A37,VLOOKUP(A37,Wechsel!$A$11:$E$31,1),0)</f>
        <v>0</v>
      </c>
      <c r="H37" s="35">
        <f>IF(G37&gt;0,VLOOKUP(A37,Wechsel!$A$11:$E$31,3),H36)</f>
        <v>0</v>
      </c>
      <c r="I37" s="35">
        <f>IF(G37&gt;0,VLOOKUP(A37,Wechsel!$A$11:$E$31,4),I36)</f>
        <v>0</v>
      </c>
      <c r="J37" s="35">
        <f>IF(G37&gt;0,VLOOKUP(A37,Wechsel!$A$11:$E$31,5),J36)</f>
        <v>1</v>
      </c>
      <c r="K37" s="52">
        <f t="shared" si="9"/>
        <v>0</v>
      </c>
      <c r="L37" s="53">
        <f t="shared" si="10"/>
        <v>0</v>
      </c>
      <c r="M37" s="54">
        <f t="shared" si="5"/>
        <v>0</v>
      </c>
      <c r="N37" s="59">
        <f t="shared" si="6"/>
        <v>1</v>
      </c>
      <c r="O37" s="53">
        <f t="shared" si="11"/>
        <v>0</v>
      </c>
      <c r="P37" s="52">
        <f>MAX(P36-Eingabe!$E$28,0)</f>
        <v>0</v>
      </c>
      <c r="Q37" s="60">
        <f t="shared" si="14"/>
        <v>0</v>
      </c>
      <c r="R37" s="60">
        <f t="shared" si="13"/>
        <v>0</v>
      </c>
      <c r="S37" s="60">
        <f>Eingabe!$C$25+Eingabe!$E$25*'Berechnung Ratierlich heute'!F37</f>
        <v>39</v>
      </c>
      <c r="T37" s="4">
        <f t="shared" si="8"/>
        <v>-39</v>
      </c>
    </row>
    <row r="38" spans="1:20">
      <c r="A38" s="27">
        <v>28</v>
      </c>
      <c r="B38" s="5">
        <f t="shared" si="1"/>
        <v>0.01</v>
      </c>
      <c r="C38" s="40">
        <f t="shared" si="0"/>
        <v>0</v>
      </c>
      <c r="D38" s="40">
        <f t="shared" si="2"/>
        <v>0</v>
      </c>
      <c r="E38" s="47">
        <f t="shared" si="3"/>
        <v>0</v>
      </c>
      <c r="F38" s="47">
        <f t="shared" si="4"/>
        <v>0</v>
      </c>
      <c r="G38" s="27">
        <f>IF(VLOOKUP(A38,Wechsel!$A$11:$E$31,1)=A38,VLOOKUP(A38,Wechsel!$A$11:$E$31,1),0)</f>
        <v>0</v>
      </c>
      <c r="H38" s="35">
        <f>IF(G38&gt;0,VLOOKUP(A38,Wechsel!$A$11:$E$31,3),H37)</f>
        <v>0</v>
      </c>
      <c r="I38" s="35">
        <f>IF(G38&gt;0,VLOOKUP(A38,Wechsel!$A$11:$E$31,4),I37)</f>
        <v>0</v>
      </c>
      <c r="J38" s="35">
        <f>IF(G38&gt;0,VLOOKUP(A38,Wechsel!$A$11:$E$31,5),J37)</f>
        <v>1</v>
      </c>
      <c r="K38" s="52">
        <f t="shared" si="9"/>
        <v>0</v>
      </c>
      <c r="L38" s="53">
        <f t="shared" si="10"/>
        <v>0</v>
      </c>
      <c r="M38" s="54">
        <f t="shared" si="5"/>
        <v>0</v>
      </c>
      <c r="N38" s="59">
        <f t="shared" si="6"/>
        <v>1</v>
      </c>
      <c r="O38" s="53">
        <f t="shared" si="11"/>
        <v>0</v>
      </c>
      <c r="P38" s="52">
        <f>MAX(P37-Eingabe!$E$28,0)</f>
        <v>0</v>
      </c>
      <c r="Q38" s="60">
        <f t="shared" si="14"/>
        <v>0</v>
      </c>
      <c r="R38" s="60">
        <f t="shared" si="13"/>
        <v>0</v>
      </c>
      <c r="S38" s="60">
        <f>Eingabe!$C$25+Eingabe!$E$25*'Berechnung Ratierlich heute'!F38</f>
        <v>39</v>
      </c>
      <c r="T38" s="4">
        <f t="shared" si="8"/>
        <v>-39</v>
      </c>
    </row>
    <row r="39" spans="1:20">
      <c r="A39" s="27">
        <v>29</v>
      </c>
      <c r="B39" s="5">
        <f t="shared" si="1"/>
        <v>0.01</v>
      </c>
      <c r="C39" s="40">
        <f t="shared" si="0"/>
        <v>0</v>
      </c>
      <c r="D39" s="40">
        <f t="shared" si="2"/>
        <v>0</v>
      </c>
      <c r="E39" s="47">
        <f t="shared" si="3"/>
        <v>0</v>
      </c>
      <c r="F39" s="47">
        <f t="shared" si="4"/>
        <v>0</v>
      </c>
      <c r="G39" s="27">
        <f>IF(VLOOKUP(A39,Wechsel!$A$11:$E$31,1)=A39,VLOOKUP(A39,Wechsel!$A$11:$E$31,1),0)</f>
        <v>0</v>
      </c>
      <c r="H39" s="35">
        <f>IF(G39&gt;0,VLOOKUP(A39,Wechsel!$A$11:$E$31,3),H38)</f>
        <v>0</v>
      </c>
      <c r="I39" s="35">
        <f>IF(G39&gt;0,VLOOKUP(A39,Wechsel!$A$11:$E$31,4),I38)</f>
        <v>0</v>
      </c>
      <c r="J39" s="35">
        <f>IF(G39&gt;0,VLOOKUP(A39,Wechsel!$A$11:$E$31,5),J38)</f>
        <v>1</v>
      </c>
      <c r="K39" s="52">
        <f t="shared" si="9"/>
        <v>0</v>
      </c>
      <c r="L39" s="53">
        <f t="shared" si="10"/>
        <v>0</v>
      </c>
      <c r="M39" s="54">
        <f t="shared" si="5"/>
        <v>0</v>
      </c>
      <c r="N39" s="59">
        <f>1-(H39*$G$5+I39*$H$5+J39*$I$5)</f>
        <v>1</v>
      </c>
      <c r="O39" s="53">
        <f t="shared" si="11"/>
        <v>0</v>
      </c>
      <c r="P39" s="52">
        <f>MAX(P38-Eingabe!$E$28,0)</f>
        <v>0</v>
      </c>
      <c r="Q39" s="60">
        <f t="shared" si="14"/>
        <v>0</v>
      </c>
      <c r="R39" s="60">
        <f t="shared" si="13"/>
        <v>0</v>
      </c>
      <c r="S39" s="60">
        <f>Eingabe!$C$25+Eingabe!$E$25*'Berechnung Ratierlich heute'!F39</f>
        <v>39</v>
      </c>
      <c r="T39" s="4">
        <f t="shared" si="8"/>
        <v>-39</v>
      </c>
    </row>
    <row r="40" spans="1:20">
      <c r="A40" s="27">
        <v>30</v>
      </c>
      <c r="B40" s="5">
        <f t="shared" si="1"/>
        <v>0.01</v>
      </c>
      <c r="C40" s="40">
        <f t="shared" si="0"/>
        <v>0</v>
      </c>
      <c r="D40" s="40">
        <f t="shared" si="2"/>
        <v>0</v>
      </c>
      <c r="E40" s="47">
        <f t="shared" si="3"/>
        <v>0</v>
      </c>
      <c r="F40" s="47">
        <f t="shared" si="4"/>
        <v>0</v>
      </c>
      <c r="G40" s="27">
        <f>IF(VLOOKUP(A40,Wechsel!$A$11:$E$31,1)=A40,VLOOKUP(A40,Wechsel!$A$11:$E$31,1),0)</f>
        <v>0</v>
      </c>
      <c r="H40" s="35">
        <f>IF(G40&gt;0,VLOOKUP(A40,Wechsel!$A$11:$E$31,3),H39)</f>
        <v>0</v>
      </c>
      <c r="I40" s="35">
        <f>IF(G40&gt;0,VLOOKUP(A40,Wechsel!$A$11:$E$31,4),I39)</f>
        <v>0</v>
      </c>
      <c r="J40" s="35">
        <f>IF(G40&gt;0,VLOOKUP(A40,Wechsel!$A$11:$E$31,5),J39)</f>
        <v>1</v>
      </c>
      <c r="K40" s="52">
        <f t="shared" si="9"/>
        <v>0</v>
      </c>
      <c r="L40" s="53">
        <f t="shared" si="10"/>
        <v>0</v>
      </c>
      <c r="M40" s="54">
        <f t="shared" si="5"/>
        <v>0</v>
      </c>
      <c r="N40" s="59">
        <f t="shared" si="6"/>
        <v>1</v>
      </c>
      <c r="O40" s="53">
        <f t="shared" si="11"/>
        <v>0</v>
      </c>
      <c r="P40" s="52">
        <f>MAX(P39-Eingabe!$E$28,0)</f>
        <v>0</v>
      </c>
      <c r="Q40" s="60">
        <f t="shared" si="14"/>
        <v>0</v>
      </c>
      <c r="R40" s="60">
        <f t="shared" si="13"/>
        <v>0</v>
      </c>
      <c r="S40" s="60">
        <f>Eingabe!$C$25+Eingabe!$E$25*'Berechnung Ratierlich heute'!F40</f>
        <v>39</v>
      </c>
      <c r="T40" s="4">
        <f t="shared" si="8"/>
        <v>-39</v>
      </c>
    </row>
    <row r="41" spans="1:20">
      <c r="A41" s="27">
        <v>31</v>
      </c>
      <c r="B41" s="5">
        <f t="shared" si="1"/>
        <v>0.01</v>
      </c>
      <c r="C41" s="40">
        <f t="shared" si="0"/>
        <v>0</v>
      </c>
      <c r="D41" s="40">
        <f t="shared" si="2"/>
        <v>0</v>
      </c>
      <c r="E41" s="47">
        <f t="shared" si="3"/>
        <v>0</v>
      </c>
      <c r="F41" s="47">
        <f t="shared" si="4"/>
        <v>0</v>
      </c>
      <c r="G41" s="27">
        <f>IF(VLOOKUP(A41,Wechsel!$A$11:$E$31,1)=A41,VLOOKUP(A41,Wechsel!$A$11:$E$31,1),0)</f>
        <v>0</v>
      </c>
      <c r="H41" s="35">
        <f>IF(G41&gt;0,VLOOKUP(A41,Wechsel!$A$11:$E$31,3),H40)</f>
        <v>0</v>
      </c>
      <c r="I41" s="35">
        <f>IF(G41&gt;0,VLOOKUP(A41,Wechsel!$A$11:$E$31,4),I40)</f>
        <v>0</v>
      </c>
      <c r="J41" s="35">
        <f>IF(G41&gt;0,VLOOKUP(A41,Wechsel!$A$11:$E$31,5),J40)</f>
        <v>1</v>
      </c>
      <c r="K41" s="52">
        <f t="shared" si="9"/>
        <v>0</v>
      </c>
      <c r="L41" s="53">
        <f t="shared" si="10"/>
        <v>0</v>
      </c>
      <c r="M41" s="54">
        <f t="shared" si="5"/>
        <v>0</v>
      </c>
      <c r="N41" s="59">
        <f t="shared" si="6"/>
        <v>1</v>
      </c>
      <c r="O41" s="53">
        <f t="shared" si="11"/>
        <v>0</v>
      </c>
      <c r="P41" s="52">
        <f>MAX(P40-Eingabe!$E$28,0)</f>
        <v>0</v>
      </c>
      <c r="Q41" s="60">
        <f t="shared" si="14"/>
        <v>0</v>
      </c>
      <c r="R41" s="60">
        <f t="shared" si="13"/>
        <v>0</v>
      </c>
      <c r="S41" s="60">
        <f>Eingabe!$C$25+Eingabe!$E$25*'Berechnung Ratierlich heute'!F41</f>
        <v>39</v>
      </c>
      <c r="T41" s="4">
        <f t="shared" si="8"/>
        <v>-39</v>
      </c>
    </row>
    <row r="42" spans="1:20">
      <c r="A42" s="27">
        <v>32</v>
      </c>
      <c r="B42" s="5">
        <f t="shared" si="1"/>
        <v>0.01</v>
      </c>
      <c r="C42" s="40">
        <f t="shared" si="0"/>
        <v>0</v>
      </c>
      <c r="D42" s="40">
        <f t="shared" si="2"/>
        <v>0</v>
      </c>
      <c r="E42" s="47">
        <f t="shared" si="3"/>
        <v>0</v>
      </c>
      <c r="F42" s="47">
        <f t="shared" si="4"/>
        <v>0</v>
      </c>
      <c r="G42" s="27">
        <f>IF(VLOOKUP(A42,Wechsel!$A$11:$E$31,1)=A42,VLOOKUP(A42,Wechsel!$A$11:$E$31,1),0)</f>
        <v>0</v>
      </c>
      <c r="H42" s="35">
        <f>IF(G42&gt;0,VLOOKUP(A42,Wechsel!$A$11:$E$31,3),H41)</f>
        <v>0</v>
      </c>
      <c r="I42" s="35">
        <f>IF(G42&gt;0,VLOOKUP(A42,Wechsel!$A$11:$E$31,4),I41)</f>
        <v>0</v>
      </c>
      <c r="J42" s="35">
        <f>IF(G42&gt;0,VLOOKUP(A42,Wechsel!$A$11:$E$31,5),J41)</f>
        <v>1</v>
      </c>
      <c r="K42" s="52">
        <f t="shared" si="9"/>
        <v>0</v>
      </c>
      <c r="L42" s="53">
        <f t="shared" si="10"/>
        <v>0</v>
      </c>
      <c r="M42" s="54">
        <f t="shared" si="5"/>
        <v>0</v>
      </c>
      <c r="N42" s="59">
        <f t="shared" si="6"/>
        <v>1</v>
      </c>
      <c r="O42" s="53">
        <f t="shared" si="11"/>
        <v>0</v>
      </c>
      <c r="P42" s="52">
        <f>MAX(P41-Eingabe!$E$28,0)</f>
        <v>0</v>
      </c>
      <c r="Q42" s="60">
        <f t="shared" si="14"/>
        <v>0</v>
      </c>
      <c r="R42" s="60">
        <f t="shared" si="13"/>
        <v>0</v>
      </c>
      <c r="S42" s="60">
        <f>Eingabe!$C$25+Eingabe!$E$25*'Berechnung Ratierlich heute'!F42</f>
        <v>39</v>
      </c>
      <c r="T42" s="4">
        <f t="shared" si="8"/>
        <v>-39</v>
      </c>
    </row>
    <row r="43" spans="1:20">
      <c r="A43" s="27">
        <v>33</v>
      </c>
      <c r="B43" s="5">
        <f t="shared" si="1"/>
        <v>0.01</v>
      </c>
      <c r="C43" s="40">
        <f t="shared" ref="C43:C60" si="15">IF($B$3&gt;=A43,$B$2,0)/(1+B43)</f>
        <v>0</v>
      </c>
      <c r="D43" s="40">
        <f t="shared" si="2"/>
        <v>0</v>
      </c>
      <c r="E43" s="47">
        <f t="shared" si="3"/>
        <v>0</v>
      </c>
      <c r="F43" s="47">
        <f t="shared" si="4"/>
        <v>0</v>
      </c>
      <c r="G43" s="27">
        <f>IF(VLOOKUP(A43,Wechsel!$A$11:$E$31,1)=A43,VLOOKUP(A43,Wechsel!$A$11:$E$31,1),0)</f>
        <v>0</v>
      </c>
      <c r="H43" s="35">
        <f>IF(G43&gt;0,VLOOKUP(A43,Wechsel!$A$11:$E$31,3),H42)</f>
        <v>0</v>
      </c>
      <c r="I43" s="35">
        <f>IF(G43&gt;0,VLOOKUP(A43,Wechsel!$A$11:$E$31,4),I42)</f>
        <v>0</v>
      </c>
      <c r="J43" s="35">
        <f>IF(G43&gt;0,VLOOKUP(A43,Wechsel!$A$11:$E$31,5),J42)</f>
        <v>1</v>
      </c>
      <c r="K43" s="52">
        <f t="shared" si="9"/>
        <v>0</v>
      </c>
      <c r="L43" s="53">
        <f t="shared" si="10"/>
        <v>0</v>
      </c>
      <c r="M43" s="54">
        <f t="shared" si="5"/>
        <v>0</v>
      </c>
      <c r="N43" s="59">
        <f t="shared" si="6"/>
        <v>1</v>
      </c>
      <c r="O43" s="53">
        <f t="shared" si="11"/>
        <v>0</v>
      </c>
      <c r="P43" s="52">
        <f>MAX(P42-Eingabe!$E$28,0)</f>
        <v>0</v>
      </c>
      <c r="Q43" s="60">
        <f t="shared" si="14"/>
        <v>0</v>
      </c>
      <c r="R43" s="60">
        <f t="shared" si="13"/>
        <v>0</v>
      </c>
      <c r="S43" s="60">
        <f>Eingabe!$C$25+Eingabe!$E$25*'Berechnung Ratierlich heute'!F43</f>
        <v>39</v>
      </c>
      <c r="T43" s="4">
        <f t="shared" si="8"/>
        <v>-39</v>
      </c>
    </row>
    <row r="44" spans="1:20">
      <c r="A44" s="27">
        <v>34</v>
      </c>
      <c r="B44" s="5">
        <f t="shared" si="1"/>
        <v>0.01</v>
      </c>
      <c r="C44" s="40">
        <f t="shared" si="15"/>
        <v>0</v>
      </c>
      <c r="D44" s="40">
        <f t="shared" ref="D44:D60" si="16">MAX(IF(A44&gt;$B$3,0,T43),0)</f>
        <v>0</v>
      </c>
      <c r="E44" s="47">
        <f t="shared" ref="E44:E60" si="17">(C44+D44)*$B$1</f>
        <v>0</v>
      </c>
      <c r="F44" s="47">
        <f t="shared" ref="F44:F60" si="18">IF(A44&gt;$B$3,0,C44+E44+D44)</f>
        <v>0</v>
      </c>
      <c r="G44" s="27">
        <f>IF(VLOOKUP(A44,Wechsel!$A$11:$E$31,1)=A44,VLOOKUP(A44,Wechsel!$A$11:$E$31,1),0)</f>
        <v>0</v>
      </c>
      <c r="H44" s="35">
        <f>IF(G44&gt;0,VLOOKUP(A44,Wechsel!$A$11:$E$31,3),H43)</f>
        <v>0</v>
      </c>
      <c r="I44" s="35">
        <f>IF(G44&gt;0,VLOOKUP(A44,Wechsel!$A$11:$E$31,4),I43)</f>
        <v>0</v>
      </c>
      <c r="J44" s="35">
        <f>IF(G44&gt;0,VLOOKUP(A44,Wechsel!$A$11:$E$31,5),J43)</f>
        <v>1</v>
      </c>
      <c r="K44" s="52">
        <f t="shared" si="9"/>
        <v>0</v>
      </c>
      <c r="L44" s="53">
        <f t="shared" si="10"/>
        <v>0</v>
      </c>
      <c r="M44" s="54">
        <f t="shared" ref="M44:M60" si="19">IF(A44&gt;$B$3,0,IF(G43&gt;0,T43,C44+M43))</f>
        <v>0</v>
      </c>
      <c r="N44" s="59">
        <f t="shared" si="6"/>
        <v>1</v>
      </c>
      <c r="O44" s="53">
        <f t="shared" si="11"/>
        <v>0</v>
      </c>
      <c r="P44" s="52">
        <f>MAX(P43-Eingabe!$E$28,0)</f>
        <v>0</v>
      </c>
      <c r="Q44" s="60">
        <f t="shared" si="14"/>
        <v>0</v>
      </c>
      <c r="R44" s="60">
        <f t="shared" si="13"/>
        <v>0</v>
      </c>
      <c r="S44" s="60">
        <f>Eingabe!$C$25+Eingabe!$E$25*'Berechnung Ratierlich heute'!F44</f>
        <v>39</v>
      </c>
      <c r="T44" s="4">
        <f t="shared" si="8"/>
        <v>-39</v>
      </c>
    </row>
    <row r="45" spans="1:20">
      <c r="A45" s="27">
        <v>35</v>
      </c>
      <c r="B45" s="5">
        <f t="shared" si="1"/>
        <v>0.01</v>
      </c>
      <c r="C45" s="40">
        <f t="shared" si="15"/>
        <v>0</v>
      </c>
      <c r="D45" s="40">
        <f t="shared" si="16"/>
        <v>0</v>
      </c>
      <c r="E45" s="47">
        <f t="shared" si="17"/>
        <v>0</v>
      </c>
      <c r="F45" s="47">
        <f t="shared" si="18"/>
        <v>0</v>
      </c>
      <c r="G45" s="27">
        <f>IF(VLOOKUP(A45,Wechsel!$A$11:$E$31,1)=A45,VLOOKUP(A45,Wechsel!$A$11:$E$31,1),0)</f>
        <v>0</v>
      </c>
      <c r="H45" s="35">
        <f>IF(G45&gt;0,VLOOKUP(A45,Wechsel!$A$11:$E$31,3),H44)</f>
        <v>0</v>
      </c>
      <c r="I45" s="35">
        <f>IF(G45&gt;0,VLOOKUP(A45,Wechsel!$A$11:$E$31,4),I44)</f>
        <v>0</v>
      </c>
      <c r="J45" s="35">
        <f>IF(G45&gt;0,VLOOKUP(A45,Wechsel!$A$11:$E$31,5),J44)</f>
        <v>1</v>
      </c>
      <c r="K45" s="52">
        <f t="shared" si="9"/>
        <v>0</v>
      </c>
      <c r="L45" s="53">
        <f t="shared" si="10"/>
        <v>0</v>
      </c>
      <c r="M45" s="54">
        <f t="shared" si="19"/>
        <v>0</v>
      </c>
      <c r="N45" s="59">
        <f t="shared" si="6"/>
        <v>1</v>
      </c>
      <c r="O45" s="53">
        <f t="shared" si="11"/>
        <v>0</v>
      </c>
      <c r="P45" s="52">
        <f>MAX(P44-Eingabe!$E$28,0)</f>
        <v>0</v>
      </c>
      <c r="Q45" s="60">
        <f t="shared" si="14"/>
        <v>0</v>
      </c>
      <c r="R45" s="60">
        <f t="shared" si="13"/>
        <v>0</v>
      </c>
      <c r="S45" s="60">
        <f>Eingabe!$C$25+Eingabe!$E$25*'Berechnung Ratierlich heute'!F45</f>
        <v>39</v>
      </c>
      <c r="T45" s="4">
        <f t="shared" si="8"/>
        <v>-39</v>
      </c>
    </row>
    <row r="46" spans="1:20">
      <c r="A46" s="27">
        <v>36</v>
      </c>
      <c r="B46" s="5">
        <f t="shared" si="1"/>
        <v>0.01</v>
      </c>
      <c r="C46" s="40">
        <f t="shared" si="15"/>
        <v>0</v>
      </c>
      <c r="D46" s="40">
        <f t="shared" si="16"/>
        <v>0</v>
      </c>
      <c r="E46" s="47">
        <f t="shared" si="17"/>
        <v>0</v>
      </c>
      <c r="F46" s="47">
        <f t="shared" si="18"/>
        <v>0</v>
      </c>
      <c r="G46" s="27">
        <f>IF(VLOOKUP(A46,Wechsel!$A$11:$E$31,1)=A46,VLOOKUP(A46,Wechsel!$A$11:$E$31,1),0)</f>
        <v>0</v>
      </c>
      <c r="H46" s="35">
        <f>IF(G46&gt;0,VLOOKUP(A46,Wechsel!$A$11:$E$31,3),H45)</f>
        <v>0</v>
      </c>
      <c r="I46" s="35">
        <f>IF(G46&gt;0,VLOOKUP(A46,Wechsel!$A$11:$E$31,4),I45)</f>
        <v>0</v>
      </c>
      <c r="J46" s="35">
        <f>IF(G46&gt;0,VLOOKUP(A46,Wechsel!$A$11:$E$31,5),J45)</f>
        <v>1</v>
      </c>
      <c r="K46" s="52">
        <f t="shared" si="9"/>
        <v>0</v>
      </c>
      <c r="L46" s="53">
        <f t="shared" si="10"/>
        <v>0</v>
      </c>
      <c r="M46" s="54">
        <f t="shared" si="19"/>
        <v>0</v>
      </c>
      <c r="N46" s="59">
        <f t="shared" si="6"/>
        <v>1</v>
      </c>
      <c r="O46" s="53">
        <f t="shared" si="11"/>
        <v>0</v>
      </c>
      <c r="P46" s="52">
        <f>MAX(P45-Eingabe!$E$28,0)</f>
        <v>0</v>
      </c>
      <c r="Q46" s="60">
        <f t="shared" si="14"/>
        <v>0</v>
      </c>
      <c r="R46" s="60">
        <f t="shared" si="13"/>
        <v>0</v>
      </c>
      <c r="S46" s="60">
        <f>Eingabe!$C$25+Eingabe!$E$25*'Berechnung Ratierlich heute'!F46</f>
        <v>39</v>
      </c>
      <c r="T46" s="4">
        <f t="shared" si="8"/>
        <v>-39</v>
      </c>
    </row>
    <row r="47" spans="1:20">
      <c r="A47" s="27">
        <v>37</v>
      </c>
      <c r="B47" s="5">
        <f t="shared" si="1"/>
        <v>0.01</v>
      </c>
      <c r="C47" s="40">
        <f t="shared" si="15"/>
        <v>0</v>
      </c>
      <c r="D47" s="40">
        <f t="shared" si="16"/>
        <v>0</v>
      </c>
      <c r="E47" s="47">
        <f t="shared" si="17"/>
        <v>0</v>
      </c>
      <c r="F47" s="47">
        <f t="shared" si="18"/>
        <v>0</v>
      </c>
      <c r="G47" s="27">
        <f>IF(VLOOKUP(A47,Wechsel!$A$11:$E$31,1)=A47,VLOOKUP(A47,Wechsel!$A$11:$E$31,1),0)</f>
        <v>0</v>
      </c>
      <c r="H47" s="35">
        <f>IF(G47&gt;0,VLOOKUP(A47,Wechsel!$A$11:$E$31,3),H46)</f>
        <v>0</v>
      </c>
      <c r="I47" s="35">
        <f>IF(G47&gt;0,VLOOKUP(A47,Wechsel!$A$11:$E$31,4),I46)</f>
        <v>0</v>
      </c>
      <c r="J47" s="35">
        <f>IF(G47&gt;0,VLOOKUP(A47,Wechsel!$A$11:$E$31,5),J46)</f>
        <v>1</v>
      </c>
      <c r="K47" s="52">
        <f t="shared" si="9"/>
        <v>0</v>
      </c>
      <c r="L47" s="53">
        <f t="shared" si="10"/>
        <v>0</v>
      </c>
      <c r="M47" s="54">
        <f t="shared" si="19"/>
        <v>0</v>
      </c>
      <c r="N47" s="59">
        <f t="shared" si="6"/>
        <v>1</v>
      </c>
      <c r="O47" s="53">
        <f t="shared" si="11"/>
        <v>0</v>
      </c>
      <c r="P47" s="52">
        <f>MAX(P46-Eingabe!$E$28,0)</f>
        <v>0</v>
      </c>
      <c r="Q47" s="60">
        <f t="shared" si="14"/>
        <v>0</v>
      </c>
      <c r="R47" s="60">
        <f t="shared" si="13"/>
        <v>0</v>
      </c>
      <c r="S47" s="60">
        <f>Eingabe!$C$25+Eingabe!$E$25*'Berechnung Ratierlich heute'!F47</f>
        <v>39</v>
      </c>
      <c r="T47" s="4">
        <f t="shared" si="8"/>
        <v>-39</v>
      </c>
    </row>
    <row r="48" spans="1:20">
      <c r="A48" s="27">
        <v>38</v>
      </c>
      <c r="B48" s="5">
        <f t="shared" si="1"/>
        <v>0.01</v>
      </c>
      <c r="C48" s="40">
        <f t="shared" si="15"/>
        <v>0</v>
      </c>
      <c r="D48" s="40">
        <f t="shared" si="16"/>
        <v>0</v>
      </c>
      <c r="E48" s="47">
        <f t="shared" si="17"/>
        <v>0</v>
      </c>
      <c r="F48" s="47">
        <f t="shared" si="18"/>
        <v>0</v>
      </c>
      <c r="G48" s="27">
        <f>IF(VLOOKUP(A48,Wechsel!$A$11:$E$31,1)=A48,VLOOKUP(A48,Wechsel!$A$11:$E$31,1),0)</f>
        <v>0</v>
      </c>
      <c r="H48" s="35">
        <f>IF(G48&gt;0,VLOOKUP(A48,Wechsel!$A$11:$E$31,3),H47)</f>
        <v>0</v>
      </c>
      <c r="I48" s="35">
        <f>IF(G48&gt;0,VLOOKUP(A48,Wechsel!$A$11:$E$31,4),I47)</f>
        <v>0</v>
      </c>
      <c r="J48" s="35">
        <f>IF(G48&gt;0,VLOOKUP(A48,Wechsel!$A$11:$E$31,5),J47)</f>
        <v>1</v>
      </c>
      <c r="K48" s="52">
        <f t="shared" si="9"/>
        <v>0</v>
      </c>
      <c r="L48" s="53">
        <f t="shared" si="10"/>
        <v>0</v>
      </c>
      <c r="M48" s="54">
        <f t="shared" si="19"/>
        <v>0</v>
      </c>
      <c r="N48" s="59">
        <f t="shared" si="6"/>
        <v>1</v>
      </c>
      <c r="O48" s="53">
        <f t="shared" si="11"/>
        <v>0</v>
      </c>
      <c r="P48" s="52">
        <f>MAX(P47-Eingabe!$E$28,0)</f>
        <v>0</v>
      </c>
      <c r="Q48" s="60">
        <f t="shared" si="14"/>
        <v>0</v>
      </c>
      <c r="R48" s="60">
        <f t="shared" si="13"/>
        <v>0</v>
      </c>
      <c r="S48" s="60">
        <f>Eingabe!$C$25+Eingabe!$E$25*'Berechnung Ratierlich heute'!F48</f>
        <v>39</v>
      </c>
      <c r="T48" s="4">
        <f t="shared" si="8"/>
        <v>-39</v>
      </c>
    </row>
    <row r="49" spans="1:20">
      <c r="A49" s="27">
        <v>39</v>
      </c>
      <c r="B49" s="5">
        <f t="shared" si="1"/>
        <v>0.01</v>
      </c>
      <c r="C49" s="40">
        <f t="shared" si="15"/>
        <v>0</v>
      </c>
      <c r="D49" s="40">
        <f t="shared" si="16"/>
        <v>0</v>
      </c>
      <c r="E49" s="47">
        <f t="shared" si="17"/>
        <v>0</v>
      </c>
      <c r="F49" s="47">
        <f t="shared" si="18"/>
        <v>0</v>
      </c>
      <c r="G49" s="27">
        <f>IF(VLOOKUP(A49,Wechsel!$A$11:$E$31,1)=A49,VLOOKUP(A49,Wechsel!$A$11:$E$31,1),0)</f>
        <v>0</v>
      </c>
      <c r="H49" s="35">
        <f>IF(G49&gt;0,VLOOKUP(A49,Wechsel!$A$11:$E$31,3),H48)</f>
        <v>0</v>
      </c>
      <c r="I49" s="35">
        <f>IF(G49&gt;0,VLOOKUP(A49,Wechsel!$A$11:$E$31,4),I48)</f>
        <v>0</v>
      </c>
      <c r="J49" s="35">
        <f>IF(G49&gt;0,VLOOKUP(A49,Wechsel!$A$11:$E$31,5),J48)</f>
        <v>1</v>
      </c>
      <c r="K49" s="52">
        <f t="shared" si="9"/>
        <v>0</v>
      </c>
      <c r="L49" s="53">
        <f t="shared" si="10"/>
        <v>0</v>
      </c>
      <c r="M49" s="54">
        <f t="shared" si="19"/>
        <v>0</v>
      </c>
      <c r="N49" s="59">
        <f t="shared" si="6"/>
        <v>1</v>
      </c>
      <c r="O49" s="53">
        <f t="shared" si="11"/>
        <v>0</v>
      </c>
      <c r="P49" s="52">
        <f>MAX(P48-Eingabe!$E$28,0)</f>
        <v>0</v>
      </c>
      <c r="Q49" s="60">
        <f t="shared" si="14"/>
        <v>0</v>
      </c>
      <c r="R49" s="60">
        <f t="shared" si="13"/>
        <v>0</v>
      </c>
      <c r="S49" s="60">
        <f>Eingabe!$C$25+Eingabe!$E$25*'Berechnung Ratierlich heute'!F49</f>
        <v>39</v>
      </c>
      <c r="T49" s="4">
        <f t="shared" si="8"/>
        <v>-39</v>
      </c>
    </row>
    <row r="50" spans="1:20">
      <c r="A50" s="27">
        <v>40</v>
      </c>
      <c r="B50" s="5">
        <f t="shared" si="1"/>
        <v>0.01</v>
      </c>
      <c r="C50" s="40">
        <f t="shared" si="15"/>
        <v>0</v>
      </c>
      <c r="D50" s="40">
        <f t="shared" si="16"/>
        <v>0</v>
      </c>
      <c r="E50" s="47">
        <f t="shared" si="17"/>
        <v>0</v>
      </c>
      <c r="F50" s="47">
        <f t="shared" si="18"/>
        <v>0</v>
      </c>
      <c r="G50" s="27">
        <f>IF(VLOOKUP(A50,Wechsel!$A$11:$E$31,1)=A50,VLOOKUP(A50,Wechsel!$A$11:$E$31,1),0)</f>
        <v>0</v>
      </c>
      <c r="H50" s="35">
        <f>IF(G50&gt;0,VLOOKUP(A50,Wechsel!$A$11:$E$31,3),H49)</f>
        <v>0</v>
      </c>
      <c r="I50" s="35">
        <f>IF(G50&gt;0,VLOOKUP(A50,Wechsel!$A$11:$E$31,4),I49)</f>
        <v>0</v>
      </c>
      <c r="J50" s="35">
        <f>IF(G50&gt;0,VLOOKUP(A50,Wechsel!$A$11:$E$31,5),J49)</f>
        <v>1</v>
      </c>
      <c r="K50" s="52">
        <f t="shared" si="9"/>
        <v>0</v>
      </c>
      <c r="L50" s="53">
        <f t="shared" si="10"/>
        <v>0</v>
      </c>
      <c r="M50" s="54">
        <f t="shared" si="19"/>
        <v>0</v>
      </c>
      <c r="N50" s="59">
        <f t="shared" si="6"/>
        <v>1</v>
      </c>
      <c r="O50" s="53">
        <f t="shared" si="11"/>
        <v>0</v>
      </c>
      <c r="P50" s="52">
        <f>MAX(P49-Eingabe!$E$28,0)</f>
        <v>0</v>
      </c>
      <c r="Q50" s="60">
        <f t="shared" si="14"/>
        <v>0</v>
      </c>
      <c r="R50" s="60">
        <f t="shared" si="13"/>
        <v>0</v>
      </c>
      <c r="S50" s="60">
        <f>Eingabe!$C$25+Eingabe!$E$25*'Berechnung Ratierlich heute'!F50</f>
        <v>39</v>
      </c>
      <c r="T50" s="4">
        <f t="shared" si="8"/>
        <v>-39</v>
      </c>
    </row>
    <row r="51" spans="1:20">
      <c r="A51" s="27">
        <v>41</v>
      </c>
      <c r="B51" s="5">
        <f t="shared" si="1"/>
        <v>0.01</v>
      </c>
      <c r="C51" s="40">
        <f t="shared" si="15"/>
        <v>0</v>
      </c>
      <c r="D51" s="40">
        <f t="shared" si="16"/>
        <v>0</v>
      </c>
      <c r="E51" s="47">
        <f t="shared" si="17"/>
        <v>0</v>
      </c>
      <c r="F51" s="47">
        <f t="shared" si="18"/>
        <v>0</v>
      </c>
      <c r="G51" s="27">
        <f>IF(VLOOKUP(A51,Wechsel!$A$11:$E$31,1)=A51,VLOOKUP(A51,Wechsel!$A$11:$E$31,1),0)</f>
        <v>0</v>
      </c>
      <c r="H51" s="35">
        <f>IF(G51&gt;0,VLOOKUP(A51,Wechsel!$A$11:$E$31,3),H50)</f>
        <v>0</v>
      </c>
      <c r="I51" s="35">
        <f>IF(G51&gt;0,VLOOKUP(A51,Wechsel!$A$11:$E$31,4),I50)</f>
        <v>0</v>
      </c>
      <c r="J51" s="35">
        <f>IF(G51&gt;0,VLOOKUP(A51,Wechsel!$A$11:$E$31,5),J50)</f>
        <v>1</v>
      </c>
      <c r="K51" s="52">
        <f t="shared" si="9"/>
        <v>0</v>
      </c>
      <c r="L51" s="53">
        <f t="shared" si="10"/>
        <v>0</v>
      </c>
      <c r="M51" s="54">
        <f t="shared" si="19"/>
        <v>0</v>
      </c>
      <c r="N51" s="59">
        <f t="shared" si="6"/>
        <v>1</v>
      </c>
      <c r="O51" s="53">
        <f t="shared" si="11"/>
        <v>0</v>
      </c>
      <c r="P51" s="52">
        <f>MAX(P50-Eingabe!$E$28,0)</f>
        <v>0</v>
      </c>
      <c r="Q51" s="60">
        <f t="shared" si="14"/>
        <v>0</v>
      </c>
      <c r="R51" s="60">
        <f t="shared" si="13"/>
        <v>0</v>
      </c>
      <c r="S51" s="60">
        <f>Eingabe!$C$25+Eingabe!$E$25*'Berechnung Ratierlich heute'!F51</f>
        <v>39</v>
      </c>
      <c r="T51" s="4">
        <f t="shared" si="8"/>
        <v>-39</v>
      </c>
    </row>
    <row r="52" spans="1:20">
      <c r="A52" s="27">
        <v>42</v>
      </c>
      <c r="B52" s="5">
        <f t="shared" si="1"/>
        <v>0.01</v>
      </c>
      <c r="C52" s="40">
        <f t="shared" si="15"/>
        <v>0</v>
      </c>
      <c r="D52" s="40">
        <f t="shared" si="16"/>
        <v>0</v>
      </c>
      <c r="E52" s="47">
        <f t="shared" si="17"/>
        <v>0</v>
      </c>
      <c r="F52" s="47">
        <f t="shared" si="18"/>
        <v>0</v>
      </c>
      <c r="G52" s="27">
        <f>IF(VLOOKUP(A52,Wechsel!$A$11:$E$31,1)=A52,VLOOKUP(A52,Wechsel!$A$11:$E$31,1),0)</f>
        <v>0</v>
      </c>
      <c r="H52" s="35">
        <f>IF(G52&gt;0,VLOOKUP(A52,Wechsel!$A$11:$E$31,3),H51)</f>
        <v>0</v>
      </c>
      <c r="I52" s="35">
        <f>IF(G52&gt;0,VLOOKUP(A52,Wechsel!$A$11:$E$31,4),I51)</f>
        <v>0</v>
      </c>
      <c r="J52" s="35">
        <f>IF(G52&gt;0,VLOOKUP(A52,Wechsel!$A$11:$E$31,5),J51)</f>
        <v>1</v>
      </c>
      <c r="K52" s="52">
        <f t="shared" si="9"/>
        <v>0</v>
      </c>
      <c r="L52" s="53">
        <f t="shared" si="10"/>
        <v>0</v>
      </c>
      <c r="M52" s="54">
        <f t="shared" si="19"/>
        <v>0</v>
      </c>
      <c r="N52" s="59">
        <f t="shared" si="6"/>
        <v>1</v>
      </c>
      <c r="O52" s="53">
        <f t="shared" si="11"/>
        <v>0</v>
      </c>
      <c r="P52" s="52">
        <f>MAX(P51-Eingabe!$E$28,0)</f>
        <v>0</v>
      </c>
      <c r="Q52" s="60">
        <f t="shared" si="14"/>
        <v>0</v>
      </c>
      <c r="R52" s="60">
        <f t="shared" si="13"/>
        <v>0</v>
      </c>
      <c r="S52" s="60">
        <f>Eingabe!$C$25+Eingabe!$E$25*'Berechnung Ratierlich heute'!F52</f>
        <v>39</v>
      </c>
      <c r="T52" s="4">
        <f t="shared" si="8"/>
        <v>-39</v>
      </c>
    </row>
    <row r="53" spans="1:20">
      <c r="A53" s="27">
        <v>43</v>
      </c>
      <c r="B53" s="5">
        <f t="shared" si="1"/>
        <v>0.01</v>
      </c>
      <c r="C53" s="40">
        <f t="shared" si="15"/>
        <v>0</v>
      </c>
      <c r="D53" s="40">
        <f t="shared" si="16"/>
        <v>0</v>
      </c>
      <c r="E53" s="47">
        <f t="shared" si="17"/>
        <v>0</v>
      </c>
      <c r="F53" s="47">
        <f t="shared" si="18"/>
        <v>0</v>
      </c>
      <c r="G53" s="27">
        <f>IF(VLOOKUP(A53,Wechsel!$A$11:$E$31,1)=A53,VLOOKUP(A53,Wechsel!$A$11:$E$31,1),0)</f>
        <v>0</v>
      </c>
      <c r="H53" s="35">
        <f>IF(G53&gt;0,VLOOKUP(A53,Wechsel!$A$11:$E$31,3),H52)</f>
        <v>0</v>
      </c>
      <c r="I53" s="35">
        <f>IF(G53&gt;0,VLOOKUP(A53,Wechsel!$A$11:$E$31,4),I52)</f>
        <v>0</v>
      </c>
      <c r="J53" s="35">
        <f>IF(G53&gt;0,VLOOKUP(A53,Wechsel!$A$11:$E$31,5),J52)</f>
        <v>1</v>
      </c>
      <c r="K53" s="52">
        <f t="shared" si="9"/>
        <v>0</v>
      </c>
      <c r="L53" s="53">
        <f t="shared" si="10"/>
        <v>0</v>
      </c>
      <c r="M53" s="54">
        <f t="shared" si="19"/>
        <v>0</v>
      </c>
      <c r="N53" s="59">
        <f t="shared" si="6"/>
        <v>1</v>
      </c>
      <c r="O53" s="53">
        <f t="shared" si="11"/>
        <v>0</v>
      </c>
      <c r="P53" s="52">
        <f>MAX(P52-Eingabe!$E$28,0)</f>
        <v>0</v>
      </c>
      <c r="Q53" s="60">
        <f t="shared" si="14"/>
        <v>0</v>
      </c>
      <c r="R53" s="60">
        <f t="shared" si="13"/>
        <v>0</v>
      </c>
      <c r="S53" s="60">
        <f>Eingabe!$C$25+Eingabe!$E$25*'Berechnung Ratierlich heute'!F53</f>
        <v>39</v>
      </c>
      <c r="T53" s="4">
        <f t="shared" si="8"/>
        <v>-39</v>
      </c>
    </row>
    <row r="54" spans="1:20">
      <c r="A54" s="27">
        <v>44</v>
      </c>
      <c r="B54" s="5">
        <f t="shared" si="1"/>
        <v>0.01</v>
      </c>
      <c r="C54" s="40">
        <f t="shared" si="15"/>
        <v>0</v>
      </c>
      <c r="D54" s="40">
        <f t="shared" si="16"/>
        <v>0</v>
      </c>
      <c r="E54" s="47">
        <f t="shared" si="17"/>
        <v>0</v>
      </c>
      <c r="F54" s="47">
        <f t="shared" si="18"/>
        <v>0</v>
      </c>
      <c r="G54" s="27">
        <f>IF(VLOOKUP(A54,Wechsel!$A$11:$E$31,1)=A54,VLOOKUP(A54,Wechsel!$A$11:$E$31,1),0)</f>
        <v>0</v>
      </c>
      <c r="H54" s="35">
        <f>IF(G54&gt;0,VLOOKUP(A54,Wechsel!$A$11:$E$31,3),H53)</f>
        <v>0</v>
      </c>
      <c r="I54" s="35">
        <f>IF(G54&gt;0,VLOOKUP(A54,Wechsel!$A$11:$E$31,4),I53)</f>
        <v>0</v>
      </c>
      <c r="J54" s="35">
        <f>IF(G54&gt;0,VLOOKUP(A54,Wechsel!$A$11:$E$31,5),J53)</f>
        <v>1</v>
      </c>
      <c r="K54" s="52">
        <f t="shared" si="9"/>
        <v>0</v>
      </c>
      <c r="L54" s="53">
        <f t="shared" si="10"/>
        <v>0</v>
      </c>
      <c r="M54" s="54">
        <f t="shared" si="19"/>
        <v>0</v>
      </c>
      <c r="N54" s="59">
        <f t="shared" si="6"/>
        <v>1</v>
      </c>
      <c r="O54" s="53">
        <f t="shared" si="11"/>
        <v>0</v>
      </c>
      <c r="P54" s="52">
        <f>MAX(P53-Eingabe!$E$28,0)</f>
        <v>0</v>
      </c>
      <c r="Q54" s="60">
        <f t="shared" si="14"/>
        <v>0</v>
      </c>
      <c r="R54" s="60">
        <f t="shared" si="13"/>
        <v>0</v>
      </c>
      <c r="S54" s="60">
        <f>Eingabe!$C$25+Eingabe!$E$25*'Berechnung Ratierlich heute'!F54</f>
        <v>39</v>
      </c>
      <c r="T54" s="4">
        <f t="shared" si="8"/>
        <v>-39</v>
      </c>
    </row>
    <row r="55" spans="1:20">
      <c r="A55" s="27">
        <v>45</v>
      </c>
      <c r="B55" s="5">
        <f t="shared" si="1"/>
        <v>0.01</v>
      </c>
      <c r="C55" s="40">
        <f t="shared" si="15"/>
        <v>0</v>
      </c>
      <c r="D55" s="40">
        <f t="shared" si="16"/>
        <v>0</v>
      </c>
      <c r="E55" s="47">
        <f t="shared" si="17"/>
        <v>0</v>
      </c>
      <c r="F55" s="47">
        <f t="shared" si="18"/>
        <v>0</v>
      </c>
      <c r="G55" s="27">
        <f>IF(VLOOKUP(A55,Wechsel!$A$11:$E$31,1)=A55,VLOOKUP(A55,Wechsel!$A$11:$E$31,1),0)</f>
        <v>0</v>
      </c>
      <c r="H55" s="35">
        <f>IF(G55&gt;0,VLOOKUP(A55,Wechsel!$A$11:$E$31,3),H54)</f>
        <v>0</v>
      </c>
      <c r="I55" s="35">
        <f>IF(G55&gt;0,VLOOKUP(A55,Wechsel!$A$11:$E$31,4),I54)</f>
        <v>0</v>
      </c>
      <c r="J55" s="35">
        <f>IF(G55&gt;0,VLOOKUP(A55,Wechsel!$A$11:$E$31,5),J54)</f>
        <v>1</v>
      </c>
      <c r="K55" s="52">
        <f t="shared" si="9"/>
        <v>0</v>
      </c>
      <c r="L55" s="53">
        <f t="shared" si="10"/>
        <v>0</v>
      </c>
      <c r="M55" s="54">
        <f t="shared" si="19"/>
        <v>0</v>
      </c>
      <c r="N55" s="59">
        <f t="shared" si="6"/>
        <v>1</v>
      </c>
      <c r="O55" s="53">
        <f t="shared" si="11"/>
        <v>0</v>
      </c>
      <c r="P55" s="52">
        <f>MAX(P54-Eingabe!$E$28,0)</f>
        <v>0</v>
      </c>
      <c r="Q55" s="60">
        <f t="shared" si="14"/>
        <v>0</v>
      </c>
      <c r="R55" s="60">
        <f t="shared" si="13"/>
        <v>0</v>
      </c>
      <c r="S55" s="60">
        <f>Eingabe!$C$25+Eingabe!$E$25*'Berechnung Ratierlich heute'!F55</f>
        <v>39</v>
      </c>
      <c r="T55" s="4">
        <f t="shared" si="8"/>
        <v>-39</v>
      </c>
    </row>
    <row r="56" spans="1:20">
      <c r="A56" s="27">
        <v>46</v>
      </c>
      <c r="B56" s="5">
        <f t="shared" si="1"/>
        <v>0.01</v>
      </c>
      <c r="C56" s="40">
        <f t="shared" si="15"/>
        <v>0</v>
      </c>
      <c r="D56" s="40">
        <f t="shared" si="16"/>
        <v>0</v>
      </c>
      <c r="E56" s="47">
        <f t="shared" si="17"/>
        <v>0</v>
      </c>
      <c r="F56" s="47">
        <f t="shared" si="18"/>
        <v>0</v>
      </c>
      <c r="G56" s="27">
        <f>IF(VLOOKUP(A56,Wechsel!$A$11:$E$31,1)=A56,VLOOKUP(A56,Wechsel!$A$11:$E$31,1),0)</f>
        <v>0</v>
      </c>
      <c r="H56" s="35">
        <f>IF(G56&gt;0,VLOOKUP(A56,Wechsel!$A$11:$E$31,3),H55)</f>
        <v>0</v>
      </c>
      <c r="I56" s="35">
        <f>IF(G56&gt;0,VLOOKUP(A56,Wechsel!$A$11:$E$31,4),I55)</f>
        <v>0</v>
      </c>
      <c r="J56" s="35">
        <f>IF(G56&gt;0,VLOOKUP(A56,Wechsel!$A$11:$E$31,5),J55)</f>
        <v>1</v>
      </c>
      <c r="K56" s="52">
        <f t="shared" si="9"/>
        <v>0</v>
      </c>
      <c r="L56" s="53">
        <f t="shared" si="10"/>
        <v>0</v>
      </c>
      <c r="M56" s="54">
        <f t="shared" si="19"/>
        <v>0</v>
      </c>
      <c r="N56" s="59">
        <f t="shared" si="6"/>
        <v>1</v>
      </c>
      <c r="O56" s="53">
        <f t="shared" si="11"/>
        <v>0</v>
      </c>
      <c r="P56" s="52">
        <f>MAX(P55-Eingabe!$E$28,0)</f>
        <v>0</v>
      </c>
      <c r="Q56" s="60">
        <f t="shared" si="14"/>
        <v>0</v>
      </c>
      <c r="R56" s="60">
        <f t="shared" si="13"/>
        <v>0</v>
      </c>
      <c r="S56" s="60">
        <f>Eingabe!$C$25+Eingabe!$E$25*'Berechnung Ratierlich heute'!F56</f>
        <v>39</v>
      </c>
      <c r="T56" s="4">
        <f t="shared" si="8"/>
        <v>-39</v>
      </c>
    </row>
    <row r="57" spans="1:20">
      <c r="A57" s="27">
        <v>47</v>
      </c>
      <c r="B57" s="5">
        <f t="shared" si="1"/>
        <v>0.01</v>
      </c>
      <c r="C57" s="40">
        <f t="shared" si="15"/>
        <v>0</v>
      </c>
      <c r="D57" s="40">
        <f t="shared" si="16"/>
        <v>0</v>
      </c>
      <c r="E57" s="47">
        <f t="shared" si="17"/>
        <v>0</v>
      </c>
      <c r="F57" s="47">
        <f t="shared" si="18"/>
        <v>0</v>
      </c>
      <c r="G57" s="27">
        <f>IF(VLOOKUP(A57,Wechsel!$A$11:$E$31,1)=A57,VLOOKUP(A57,Wechsel!$A$11:$E$31,1),0)</f>
        <v>0</v>
      </c>
      <c r="H57" s="35">
        <f>IF(G57&gt;0,VLOOKUP(A57,Wechsel!$A$11:$E$31,3),H56)</f>
        <v>0</v>
      </c>
      <c r="I57" s="35">
        <f>IF(G57&gt;0,VLOOKUP(A57,Wechsel!$A$11:$E$31,4),I56)</f>
        <v>0</v>
      </c>
      <c r="J57" s="35">
        <f>IF(G57&gt;0,VLOOKUP(A57,Wechsel!$A$11:$E$31,5),J56)</f>
        <v>1</v>
      </c>
      <c r="K57" s="52">
        <f t="shared" si="9"/>
        <v>0</v>
      </c>
      <c r="L57" s="53">
        <f t="shared" si="10"/>
        <v>0</v>
      </c>
      <c r="M57" s="54">
        <f t="shared" si="19"/>
        <v>0</v>
      </c>
      <c r="N57" s="59">
        <f t="shared" si="6"/>
        <v>1</v>
      </c>
      <c r="O57" s="53">
        <f t="shared" si="11"/>
        <v>0</v>
      </c>
      <c r="P57" s="52">
        <f>MAX(P56-Eingabe!$E$28,0)</f>
        <v>0</v>
      </c>
      <c r="Q57" s="60">
        <f t="shared" si="14"/>
        <v>0</v>
      </c>
      <c r="R57" s="60">
        <f t="shared" si="13"/>
        <v>0</v>
      </c>
      <c r="S57" s="60">
        <f>Eingabe!$C$25+Eingabe!$E$25*'Berechnung Ratierlich heute'!F57</f>
        <v>39</v>
      </c>
      <c r="T57" s="4">
        <f t="shared" si="8"/>
        <v>-39</v>
      </c>
    </row>
    <row r="58" spans="1:20">
      <c r="A58" s="27">
        <v>48</v>
      </c>
      <c r="B58" s="5">
        <f t="shared" si="1"/>
        <v>0.01</v>
      </c>
      <c r="C58" s="40">
        <f t="shared" si="15"/>
        <v>0</v>
      </c>
      <c r="D58" s="40">
        <f t="shared" si="16"/>
        <v>0</v>
      </c>
      <c r="E58" s="47">
        <f t="shared" si="17"/>
        <v>0</v>
      </c>
      <c r="F58" s="47">
        <f t="shared" si="18"/>
        <v>0</v>
      </c>
      <c r="G58" s="27">
        <f>IF(VLOOKUP(A58,Wechsel!$A$11:$E$31,1)=A58,VLOOKUP(A58,Wechsel!$A$11:$E$31,1),0)</f>
        <v>0</v>
      </c>
      <c r="H58" s="35">
        <f>IF(G58&gt;0,VLOOKUP(A58,Wechsel!$A$11:$E$31,3),H57)</f>
        <v>0</v>
      </c>
      <c r="I58" s="35">
        <f>IF(G58&gt;0,VLOOKUP(A58,Wechsel!$A$11:$E$31,4),I57)</f>
        <v>0</v>
      </c>
      <c r="J58" s="35">
        <f>IF(G58&gt;0,VLOOKUP(A58,Wechsel!$A$11:$E$31,5),J57)</f>
        <v>1</v>
      </c>
      <c r="K58" s="52">
        <f t="shared" si="9"/>
        <v>0</v>
      </c>
      <c r="L58" s="53">
        <f t="shared" si="10"/>
        <v>0</v>
      </c>
      <c r="M58" s="54">
        <f t="shared" si="19"/>
        <v>0</v>
      </c>
      <c r="N58" s="59">
        <f t="shared" si="6"/>
        <v>1</v>
      </c>
      <c r="O58" s="53">
        <f t="shared" si="11"/>
        <v>0</v>
      </c>
      <c r="P58" s="52">
        <f>MAX(P57-Eingabe!$E$28,0)</f>
        <v>0</v>
      </c>
      <c r="Q58" s="60">
        <f t="shared" si="14"/>
        <v>0</v>
      </c>
      <c r="R58" s="60">
        <f t="shared" si="13"/>
        <v>0</v>
      </c>
      <c r="S58" s="60">
        <f>Eingabe!$C$25+Eingabe!$E$25*'Berechnung Ratierlich heute'!F58</f>
        <v>39</v>
      </c>
      <c r="T58" s="4">
        <f t="shared" si="8"/>
        <v>-39</v>
      </c>
    </row>
    <row r="59" spans="1:20">
      <c r="A59" s="27">
        <v>49</v>
      </c>
      <c r="B59" s="5">
        <f t="shared" si="1"/>
        <v>0.01</v>
      </c>
      <c r="C59" s="40">
        <f t="shared" si="15"/>
        <v>0</v>
      </c>
      <c r="D59" s="40">
        <f t="shared" si="16"/>
        <v>0</v>
      </c>
      <c r="E59" s="47">
        <f t="shared" si="17"/>
        <v>0</v>
      </c>
      <c r="F59" s="47">
        <f t="shared" si="18"/>
        <v>0</v>
      </c>
      <c r="G59" s="27">
        <f>IF(VLOOKUP(A59,Wechsel!$A$11:$E$31,1)=A59,VLOOKUP(A59,Wechsel!$A$11:$E$31,1),0)</f>
        <v>0</v>
      </c>
      <c r="H59" s="35">
        <f>IF(G59&gt;0,VLOOKUP(A59,Wechsel!$A$11:$E$31,3),H58)</f>
        <v>0</v>
      </c>
      <c r="I59" s="35">
        <f>IF(G59&gt;0,VLOOKUP(A59,Wechsel!$A$11:$E$31,4),I58)</f>
        <v>0</v>
      </c>
      <c r="J59" s="35">
        <f>IF(G59&gt;0,VLOOKUP(A59,Wechsel!$A$11:$E$31,5),J58)</f>
        <v>1</v>
      </c>
      <c r="K59" s="52">
        <f t="shared" si="9"/>
        <v>0</v>
      </c>
      <c r="L59" s="53">
        <f t="shared" si="10"/>
        <v>0</v>
      </c>
      <c r="M59" s="54">
        <f t="shared" si="19"/>
        <v>0</v>
      </c>
      <c r="N59" s="59">
        <f t="shared" si="6"/>
        <v>1</v>
      </c>
      <c r="O59" s="53">
        <f t="shared" si="11"/>
        <v>0</v>
      </c>
      <c r="P59" s="52">
        <f>MAX(P58-Eingabe!$E$28,0)</f>
        <v>0</v>
      </c>
      <c r="Q59" s="60">
        <f t="shared" si="14"/>
        <v>0</v>
      </c>
      <c r="R59" s="60">
        <f t="shared" si="13"/>
        <v>0</v>
      </c>
      <c r="S59" s="60">
        <f>Eingabe!$C$25+Eingabe!$E$25*'Berechnung Ratierlich heute'!F59</f>
        <v>39</v>
      </c>
      <c r="T59" s="4">
        <f t="shared" si="8"/>
        <v>-39</v>
      </c>
    </row>
    <row r="60" spans="1:20">
      <c r="A60" s="27">
        <v>50</v>
      </c>
      <c r="B60" s="5">
        <f t="shared" si="1"/>
        <v>0.01</v>
      </c>
      <c r="C60" s="40">
        <f t="shared" si="15"/>
        <v>0</v>
      </c>
      <c r="D60" s="40">
        <f t="shared" si="16"/>
        <v>0</v>
      </c>
      <c r="E60" s="47">
        <f t="shared" si="17"/>
        <v>0</v>
      </c>
      <c r="F60" s="47">
        <f t="shared" si="18"/>
        <v>0</v>
      </c>
      <c r="G60" s="27">
        <f>IF(VLOOKUP(A60,Wechsel!$A$11:$E$31,1)=A60,VLOOKUP(A60,Wechsel!$A$11:$E$31,1),0)</f>
        <v>0</v>
      </c>
      <c r="H60" s="35">
        <f>IF(G60&gt;0,VLOOKUP(A60,Wechsel!$A$11:$E$31,3),H59)</f>
        <v>0</v>
      </c>
      <c r="I60" s="35">
        <f>IF(G60&gt;0,VLOOKUP(A60,Wechsel!$A$11:$E$31,4),I59)</f>
        <v>0</v>
      </c>
      <c r="J60" s="35">
        <f>IF(G60&gt;0,VLOOKUP(A60,Wechsel!$A$11:$E$31,5),J59)</f>
        <v>1</v>
      </c>
      <c r="K60" s="52">
        <f t="shared" si="9"/>
        <v>0</v>
      </c>
      <c r="L60" s="53">
        <f t="shared" si="10"/>
        <v>0</v>
      </c>
      <c r="M60" s="54">
        <f t="shared" si="19"/>
        <v>0</v>
      </c>
      <c r="N60" s="59">
        <f t="shared" si="6"/>
        <v>1</v>
      </c>
      <c r="O60" s="53">
        <f t="shared" si="11"/>
        <v>0</v>
      </c>
      <c r="P60" s="52">
        <f>MAX(P59-Eingabe!$E$28,0)</f>
        <v>0</v>
      </c>
      <c r="Q60" s="60">
        <f t="shared" si="14"/>
        <v>0</v>
      </c>
      <c r="R60" s="60">
        <f t="shared" si="13"/>
        <v>0</v>
      </c>
      <c r="S60" s="60">
        <f>Eingabe!$C$25+Eingabe!$E$25*'Berechnung Ratierlich heute'!F60</f>
        <v>39</v>
      </c>
      <c r="T60" s="4">
        <f t="shared" si="8"/>
        <v>-39</v>
      </c>
    </row>
    <row r="61" spans="1:20">
      <c r="A61" s="190">
        <v>51</v>
      </c>
      <c r="B61" s="5">
        <f t="shared" ref="B61:B69" si="20">$G$3*H60+$H$3*I60+$I$3*J60</f>
        <v>0.01</v>
      </c>
      <c r="C61" s="40">
        <f t="shared" ref="C61:C69" si="21">IF($B$3&gt;=A61,$B$2,0)/(1+B61)</f>
        <v>0</v>
      </c>
      <c r="D61" s="40">
        <f t="shared" ref="D61:D69" si="22">MAX(IF(A61&gt;$B$3,0,T60),0)</f>
        <v>0</v>
      </c>
      <c r="E61" s="47">
        <f t="shared" ref="E61:E69" si="23">(C61+D61)*$B$1</f>
        <v>0</v>
      </c>
      <c r="F61" s="47">
        <f t="shared" ref="F61:F69" si="24">IF(A61&gt;$B$3,0,C61+E61+D61)</f>
        <v>0</v>
      </c>
      <c r="G61" s="190">
        <f>IF(VLOOKUP(A61,Wechsel!$A$11:$E$31,1)=A61,VLOOKUP(A61,Wechsel!$A$11:$E$31,1),0)</f>
        <v>0</v>
      </c>
      <c r="H61" s="35">
        <f>IF(G61&gt;0,VLOOKUP(A61,Wechsel!$A$11:$E$31,3),H60)</f>
        <v>0</v>
      </c>
      <c r="I61" s="35">
        <f>IF(G61&gt;0,VLOOKUP(A61,Wechsel!$A$11:$E$31,4),I60)</f>
        <v>0</v>
      </c>
      <c r="J61" s="35">
        <f>IF(G61&gt;0,VLOOKUP(A61,Wechsel!$A$11:$E$31,5),J60)</f>
        <v>1</v>
      </c>
      <c r="K61" s="52">
        <f t="shared" ref="K61:K69" si="25">D61*$M$1*0.7*0.7*$M$2*H61+D61*$M$1*0.85*0.7*$M$2*I61+D61*$M$1*0.7*$M$2*J61</f>
        <v>0</v>
      </c>
      <c r="L61" s="53">
        <f t="shared" ref="L61:L69" si="26">IF(G60&gt;0,K61,K61+L60)</f>
        <v>0</v>
      </c>
      <c r="M61" s="54">
        <f t="shared" ref="M61:M69" si="27">IF(A61&gt;$B$3,0,IF(G60&gt;0,T60,C61+M60))</f>
        <v>0</v>
      </c>
      <c r="N61" s="59">
        <f t="shared" ref="N61:N69" si="28">1-(H61*$G$5+I61*$H$5+J61*$I$5)</f>
        <v>1</v>
      </c>
      <c r="O61" s="53">
        <f t="shared" ref="O61:O69" si="29">IF(G61&gt;0,(F61-M61)*N60,0)</f>
        <v>0</v>
      </c>
      <c r="P61" s="52">
        <f>MAX(P60-Eingabe!$E$28,0)</f>
        <v>0</v>
      </c>
      <c r="Q61" s="60">
        <f t="shared" ref="Q61:Q69" si="30">MAX(0,K61+O61*$M$2-P61-IF(G61&gt;0,-(L60+K61),0))</f>
        <v>0</v>
      </c>
      <c r="R61" s="60">
        <f t="shared" ref="R61:R69" si="31">MAX(IF(G61&gt;0,(H61*$G$4+I61*$H$4+J61*$I$4)*(F61-Q61),0),0)</f>
        <v>0</v>
      </c>
      <c r="S61" s="60">
        <f>Eingabe!$C$25+Eingabe!$E$25*'Berechnung Ratierlich heute'!F61</f>
        <v>39</v>
      </c>
      <c r="T61" s="4">
        <f t="shared" ref="T61:T69" si="32">F61-Q61-R61-S61</f>
        <v>-39</v>
      </c>
    </row>
    <row r="62" spans="1:20">
      <c r="A62" s="190">
        <v>52</v>
      </c>
      <c r="B62" s="5">
        <f t="shared" si="20"/>
        <v>0.01</v>
      </c>
      <c r="C62" s="40">
        <f t="shared" si="21"/>
        <v>0</v>
      </c>
      <c r="D62" s="40">
        <f t="shared" si="22"/>
        <v>0</v>
      </c>
      <c r="E62" s="47">
        <f t="shared" si="23"/>
        <v>0</v>
      </c>
      <c r="F62" s="47">
        <f t="shared" si="24"/>
        <v>0</v>
      </c>
      <c r="G62" s="190">
        <f>IF(VLOOKUP(A62,Wechsel!$A$11:$E$31,1)=A62,VLOOKUP(A62,Wechsel!$A$11:$E$31,1),0)</f>
        <v>0</v>
      </c>
      <c r="H62" s="35">
        <f>IF(G62&gt;0,VLOOKUP(A62,Wechsel!$A$11:$E$31,3),H61)</f>
        <v>0</v>
      </c>
      <c r="I62" s="35">
        <f>IF(G62&gt;0,VLOOKUP(A62,Wechsel!$A$11:$E$31,4),I61)</f>
        <v>0</v>
      </c>
      <c r="J62" s="35">
        <f>IF(G62&gt;0,VLOOKUP(A62,Wechsel!$A$11:$E$31,5),J61)</f>
        <v>1</v>
      </c>
      <c r="K62" s="52">
        <f t="shared" si="25"/>
        <v>0</v>
      </c>
      <c r="L62" s="53">
        <f t="shared" si="26"/>
        <v>0</v>
      </c>
      <c r="M62" s="54">
        <f t="shared" si="27"/>
        <v>0</v>
      </c>
      <c r="N62" s="59">
        <f t="shared" si="28"/>
        <v>1</v>
      </c>
      <c r="O62" s="53">
        <f t="shared" si="29"/>
        <v>0</v>
      </c>
      <c r="P62" s="52">
        <f>MAX(P61-Eingabe!$E$28,0)</f>
        <v>0</v>
      </c>
      <c r="Q62" s="60">
        <f t="shared" si="30"/>
        <v>0</v>
      </c>
      <c r="R62" s="60">
        <f t="shared" si="31"/>
        <v>0</v>
      </c>
      <c r="S62" s="60">
        <f>Eingabe!$C$25+Eingabe!$E$25*'Berechnung Ratierlich heute'!F62</f>
        <v>39</v>
      </c>
      <c r="T62" s="4">
        <f t="shared" si="32"/>
        <v>-39</v>
      </c>
    </row>
    <row r="63" spans="1:20">
      <c r="A63" s="190">
        <v>53</v>
      </c>
      <c r="B63" s="5">
        <f t="shared" si="20"/>
        <v>0.01</v>
      </c>
      <c r="C63" s="40">
        <f t="shared" si="21"/>
        <v>0</v>
      </c>
      <c r="D63" s="40">
        <f t="shared" si="22"/>
        <v>0</v>
      </c>
      <c r="E63" s="47">
        <f t="shared" si="23"/>
        <v>0</v>
      </c>
      <c r="F63" s="47">
        <f t="shared" si="24"/>
        <v>0</v>
      </c>
      <c r="G63" s="190">
        <f>IF(VLOOKUP(A63,Wechsel!$A$11:$E$31,1)=A63,VLOOKUP(A63,Wechsel!$A$11:$E$31,1),0)</f>
        <v>0</v>
      </c>
      <c r="H63" s="35">
        <f>IF(G63&gt;0,VLOOKUP(A63,Wechsel!$A$11:$E$31,3),H62)</f>
        <v>0</v>
      </c>
      <c r="I63" s="35">
        <f>IF(G63&gt;0,VLOOKUP(A63,Wechsel!$A$11:$E$31,4),I62)</f>
        <v>0</v>
      </c>
      <c r="J63" s="35">
        <f>IF(G63&gt;0,VLOOKUP(A63,Wechsel!$A$11:$E$31,5),J62)</f>
        <v>1</v>
      </c>
      <c r="K63" s="52">
        <f t="shared" si="25"/>
        <v>0</v>
      </c>
      <c r="L63" s="53">
        <f t="shared" si="26"/>
        <v>0</v>
      </c>
      <c r="M63" s="54">
        <f t="shared" si="27"/>
        <v>0</v>
      </c>
      <c r="N63" s="59">
        <f t="shared" si="28"/>
        <v>1</v>
      </c>
      <c r="O63" s="53">
        <f t="shared" si="29"/>
        <v>0</v>
      </c>
      <c r="P63" s="52">
        <f>MAX(P62-Eingabe!$E$28,0)</f>
        <v>0</v>
      </c>
      <c r="Q63" s="60">
        <f t="shared" si="30"/>
        <v>0</v>
      </c>
      <c r="R63" s="60">
        <f t="shared" si="31"/>
        <v>0</v>
      </c>
      <c r="S63" s="60">
        <f>Eingabe!$C$25+Eingabe!$E$25*'Berechnung Ratierlich heute'!F63</f>
        <v>39</v>
      </c>
      <c r="T63" s="4">
        <f t="shared" si="32"/>
        <v>-39</v>
      </c>
    </row>
    <row r="64" spans="1:20">
      <c r="A64" s="190">
        <v>54</v>
      </c>
      <c r="B64" s="5">
        <f t="shared" si="20"/>
        <v>0.01</v>
      </c>
      <c r="C64" s="40">
        <f t="shared" si="21"/>
        <v>0</v>
      </c>
      <c r="D64" s="40">
        <f t="shared" si="22"/>
        <v>0</v>
      </c>
      <c r="E64" s="47">
        <f t="shared" si="23"/>
        <v>0</v>
      </c>
      <c r="F64" s="47">
        <f t="shared" si="24"/>
        <v>0</v>
      </c>
      <c r="G64" s="190">
        <f>IF(VLOOKUP(A64,Wechsel!$A$11:$E$31,1)=A64,VLOOKUP(A64,Wechsel!$A$11:$E$31,1),0)</f>
        <v>0</v>
      </c>
      <c r="H64" s="35">
        <f>IF(G64&gt;0,VLOOKUP(A64,Wechsel!$A$11:$E$31,3),H63)</f>
        <v>0</v>
      </c>
      <c r="I64" s="35">
        <f>IF(G64&gt;0,VLOOKUP(A64,Wechsel!$A$11:$E$31,4),I63)</f>
        <v>0</v>
      </c>
      <c r="J64" s="35">
        <f>IF(G64&gt;0,VLOOKUP(A64,Wechsel!$A$11:$E$31,5),J63)</f>
        <v>1</v>
      </c>
      <c r="K64" s="52">
        <f t="shared" si="25"/>
        <v>0</v>
      </c>
      <c r="L64" s="53">
        <f t="shared" si="26"/>
        <v>0</v>
      </c>
      <c r="M64" s="54">
        <f t="shared" si="27"/>
        <v>0</v>
      </c>
      <c r="N64" s="59">
        <f t="shared" si="28"/>
        <v>1</v>
      </c>
      <c r="O64" s="53">
        <f t="shared" si="29"/>
        <v>0</v>
      </c>
      <c r="P64" s="52">
        <f>MAX(P63-Eingabe!$E$28,0)</f>
        <v>0</v>
      </c>
      <c r="Q64" s="60">
        <f t="shared" si="30"/>
        <v>0</v>
      </c>
      <c r="R64" s="60">
        <f t="shared" si="31"/>
        <v>0</v>
      </c>
      <c r="S64" s="60">
        <f>Eingabe!$C$25+Eingabe!$E$25*'Berechnung Ratierlich heute'!F64</f>
        <v>39</v>
      </c>
      <c r="T64" s="4">
        <f t="shared" si="32"/>
        <v>-39</v>
      </c>
    </row>
    <row r="65" spans="1:20">
      <c r="A65" s="190">
        <v>55</v>
      </c>
      <c r="B65" s="5">
        <f t="shared" si="20"/>
        <v>0.01</v>
      </c>
      <c r="C65" s="40">
        <f t="shared" si="21"/>
        <v>0</v>
      </c>
      <c r="D65" s="40">
        <f t="shared" si="22"/>
        <v>0</v>
      </c>
      <c r="E65" s="47">
        <f t="shared" si="23"/>
        <v>0</v>
      </c>
      <c r="F65" s="47">
        <f t="shared" si="24"/>
        <v>0</v>
      </c>
      <c r="G65" s="190">
        <f>IF(VLOOKUP(A65,Wechsel!$A$11:$E$31,1)=A65,VLOOKUP(A65,Wechsel!$A$11:$E$31,1),0)</f>
        <v>0</v>
      </c>
      <c r="H65" s="35">
        <f>IF(G65&gt;0,VLOOKUP(A65,Wechsel!$A$11:$E$31,3),H64)</f>
        <v>0</v>
      </c>
      <c r="I65" s="35">
        <f>IF(G65&gt;0,VLOOKUP(A65,Wechsel!$A$11:$E$31,4),I64)</f>
        <v>0</v>
      </c>
      <c r="J65" s="35">
        <f>IF(G65&gt;0,VLOOKUP(A65,Wechsel!$A$11:$E$31,5),J64)</f>
        <v>1</v>
      </c>
      <c r="K65" s="52">
        <f t="shared" si="25"/>
        <v>0</v>
      </c>
      <c r="L65" s="53">
        <f t="shared" si="26"/>
        <v>0</v>
      </c>
      <c r="M65" s="54">
        <f t="shared" si="27"/>
        <v>0</v>
      </c>
      <c r="N65" s="59">
        <f t="shared" si="28"/>
        <v>1</v>
      </c>
      <c r="O65" s="53">
        <f t="shared" si="29"/>
        <v>0</v>
      </c>
      <c r="P65" s="52">
        <f>MAX(P64-Eingabe!$E$28,0)</f>
        <v>0</v>
      </c>
      <c r="Q65" s="60">
        <f t="shared" si="30"/>
        <v>0</v>
      </c>
      <c r="R65" s="60">
        <f t="shared" si="31"/>
        <v>0</v>
      </c>
      <c r="S65" s="60">
        <f>Eingabe!$C$25+Eingabe!$E$25*'Berechnung Ratierlich heute'!F65</f>
        <v>39</v>
      </c>
      <c r="T65" s="4">
        <f t="shared" si="32"/>
        <v>-39</v>
      </c>
    </row>
    <row r="66" spans="1:20">
      <c r="A66" s="190">
        <v>56</v>
      </c>
      <c r="B66" s="5">
        <f t="shared" si="20"/>
        <v>0.01</v>
      </c>
      <c r="C66" s="40">
        <f t="shared" si="21"/>
        <v>0</v>
      </c>
      <c r="D66" s="40">
        <f t="shared" si="22"/>
        <v>0</v>
      </c>
      <c r="E66" s="47">
        <f t="shared" si="23"/>
        <v>0</v>
      </c>
      <c r="F66" s="47">
        <f t="shared" si="24"/>
        <v>0</v>
      </c>
      <c r="G66" s="190">
        <f>IF(VLOOKUP(A66,Wechsel!$A$11:$E$31,1)=A66,VLOOKUP(A66,Wechsel!$A$11:$E$31,1),0)</f>
        <v>0</v>
      </c>
      <c r="H66" s="35">
        <f>IF(G66&gt;0,VLOOKUP(A66,Wechsel!$A$11:$E$31,3),H65)</f>
        <v>0</v>
      </c>
      <c r="I66" s="35">
        <f>IF(G66&gt;0,VLOOKUP(A66,Wechsel!$A$11:$E$31,4),I65)</f>
        <v>0</v>
      </c>
      <c r="J66" s="35">
        <f>IF(G66&gt;0,VLOOKUP(A66,Wechsel!$A$11:$E$31,5),J65)</f>
        <v>1</v>
      </c>
      <c r="K66" s="52">
        <f t="shared" si="25"/>
        <v>0</v>
      </c>
      <c r="L66" s="53">
        <f t="shared" si="26"/>
        <v>0</v>
      </c>
      <c r="M66" s="54">
        <f t="shared" si="27"/>
        <v>0</v>
      </c>
      <c r="N66" s="59">
        <f t="shared" si="28"/>
        <v>1</v>
      </c>
      <c r="O66" s="53">
        <f t="shared" si="29"/>
        <v>0</v>
      </c>
      <c r="P66" s="52">
        <f>MAX(P65-Eingabe!$E$28,0)</f>
        <v>0</v>
      </c>
      <c r="Q66" s="60">
        <f t="shared" si="30"/>
        <v>0</v>
      </c>
      <c r="R66" s="60">
        <f t="shared" si="31"/>
        <v>0</v>
      </c>
      <c r="S66" s="60">
        <f>Eingabe!$C$25+Eingabe!$E$25*'Berechnung Ratierlich heute'!F66</f>
        <v>39</v>
      </c>
      <c r="T66" s="4">
        <f t="shared" si="32"/>
        <v>-39</v>
      </c>
    </row>
    <row r="67" spans="1:20">
      <c r="A67" s="190">
        <v>57</v>
      </c>
      <c r="B67" s="5">
        <f t="shared" si="20"/>
        <v>0.01</v>
      </c>
      <c r="C67" s="40">
        <f t="shared" si="21"/>
        <v>0</v>
      </c>
      <c r="D67" s="40">
        <f t="shared" si="22"/>
        <v>0</v>
      </c>
      <c r="E67" s="47">
        <f t="shared" si="23"/>
        <v>0</v>
      </c>
      <c r="F67" s="47">
        <f t="shared" si="24"/>
        <v>0</v>
      </c>
      <c r="G67" s="190">
        <f>IF(VLOOKUP(A67,Wechsel!$A$11:$E$31,1)=A67,VLOOKUP(A67,Wechsel!$A$11:$E$31,1),0)</f>
        <v>0</v>
      </c>
      <c r="H67" s="35">
        <f>IF(G67&gt;0,VLOOKUP(A67,Wechsel!$A$11:$E$31,3),H66)</f>
        <v>0</v>
      </c>
      <c r="I67" s="35">
        <f>IF(G67&gt;0,VLOOKUP(A67,Wechsel!$A$11:$E$31,4),I66)</f>
        <v>0</v>
      </c>
      <c r="J67" s="35">
        <f>IF(G67&gt;0,VLOOKUP(A67,Wechsel!$A$11:$E$31,5),J66)</f>
        <v>1</v>
      </c>
      <c r="K67" s="52">
        <f t="shared" si="25"/>
        <v>0</v>
      </c>
      <c r="L67" s="53">
        <f t="shared" si="26"/>
        <v>0</v>
      </c>
      <c r="M67" s="54">
        <f t="shared" si="27"/>
        <v>0</v>
      </c>
      <c r="N67" s="59">
        <f t="shared" si="28"/>
        <v>1</v>
      </c>
      <c r="O67" s="53">
        <f t="shared" si="29"/>
        <v>0</v>
      </c>
      <c r="P67" s="52">
        <f>MAX(P66-Eingabe!$E$28,0)</f>
        <v>0</v>
      </c>
      <c r="Q67" s="60">
        <f t="shared" si="30"/>
        <v>0</v>
      </c>
      <c r="R67" s="60">
        <f t="shared" si="31"/>
        <v>0</v>
      </c>
      <c r="S67" s="60">
        <f>Eingabe!$C$25+Eingabe!$E$25*'Berechnung Ratierlich heute'!F67</f>
        <v>39</v>
      </c>
      <c r="T67" s="4">
        <f t="shared" si="32"/>
        <v>-39</v>
      </c>
    </row>
    <row r="68" spans="1:20">
      <c r="A68" s="190">
        <v>58</v>
      </c>
      <c r="B68" s="5">
        <f t="shared" si="20"/>
        <v>0.01</v>
      </c>
      <c r="C68" s="40">
        <f t="shared" si="21"/>
        <v>0</v>
      </c>
      <c r="D68" s="40">
        <f t="shared" si="22"/>
        <v>0</v>
      </c>
      <c r="E68" s="47">
        <f t="shared" si="23"/>
        <v>0</v>
      </c>
      <c r="F68" s="47">
        <f t="shared" si="24"/>
        <v>0</v>
      </c>
      <c r="G68" s="190">
        <f>IF(VLOOKUP(A68,Wechsel!$A$11:$E$31,1)=A68,VLOOKUP(A68,Wechsel!$A$11:$E$31,1),0)</f>
        <v>0</v>
      </c>
      <c r="H68" s="35">
        <f>IF(G68&gt;0,VLOOKUP(A68,Wechsel!$A$11:$E$31,3),H67)</f>
        <v>0</v>
      </c>
      <c r="I68" s="35">
        <f>IF(G68&gt;0,VLOOKUP(A68,Wechsel!$A$11:$E$31,4),I67)</f>
        <v>0</v>
      </c>
      <c r="J68" s="35">
        <f>IF(G68&gt;0,VLOOKUP(A68,Wechsel!$A$11:$E$31,5),J67)</f>
        <v>1</v>
      </c>
      <c r="K68" s="52">
        <f t="shared" si="25"/>
        <v>0</v>
      </c>
      <c r="L68" s="53">
        <f t="shared" si="26"/>
        <v>0</v>
      </c>
      <c r="M68" s="54">
        <f t="shared" si="27"/>
        <v>0</v>
      </c>
      <c r="N68" s="59">
        <f t="shared" si="28"/>
        <v>1</v>
      </c>
      <c r="O68" s="53">
        <f t="shared" si="29"/>
        <v>0</v>
      </c>
      <c r="P68" s="52">
        <f>MAX(P67-Eingabe!$E$28,0)</f>
        <v>0</v>
      </c>
      <c r="Q68" s="60">
        <f t="shared" si="30"/>
        <v>0</v>
      </c>
      <c r="R68" s="60">
        <f t="shared" si="31"/>
        <v>0</v>
      </c>
      <c r="S68" s="60">
        <f>Eingabe!$C$25+Eingabe!$E$25*'Berechnung Ratierlich heute'!F68</f>
        <v>39</v>
      </c>
      <c r="T68" s="4">
        <f t="shared" si="32"/>
        <v>-39</v>
      </c>
    </row>
    <row r="69" spans="1:20">
      <c r="A69" s="190">
        <v>59</v>
      </c>
      <c r="B69" s="5">
        <f t="shared" si="20"/>
        <v>0.01</v>
      </c>
      <c r="C69" s="40">
        <f t="shared" si="21"/>
        <v>0</v>
      </c>
      <c r="D69" s="40">
        <f t="shared" si="22"/>
        <v>0</v>
      </c>
      <c r="E69" s="47">
        <f t="shared" si="23"/>
        <v>0</v>
      </c>
      <c r="F69" s="47">
        <f t="shared" si="24"/>
        <v>0</v>
      </c>
      <c r="G69" s="190">
        <f>IF(VLOOKUP(A69,Wechsel!$A$11:$E$31,1)=A69,VLOOKUP(A69,Wechsel!$A$11:$E$31,1),0)</f>
        <v>0</v>
      </c>
      <c r="H69" s="35">
        <f>IF(G69&gt;0,VLOOKUP(A69,Wechsel!$A$11:$E$31,3),H68)</f>
        <v>0</v>
      </c>
      <c r="I69" s="35">
        <f>IF(G69&gt;0,VLOOKUP(A69,Wechsel!$A$11:$E$31,4),I68)</f>
        <v>0</v>
      </c>
      <c r="J69" s="35">
        <f>IF(G69&gt;0,VLOOKUP(A69,Wechsel!$A$11:$E$31,5),J68)</f>
        <v>1</v>
      </c>
      <c r="K69" s="52">
        <f t="shared" si="25"/>
        <v>0</v>
      </c>
      <c r="L69" s="53">
        <f t="shared" si="26"/>
        <v>0</v>
      </c>
      <c r="M69" s="54">
        <f t="shared" si="27"/>
        <v>0</v>
      </c>
      <c r="N69" s="59">
        <f t="shared" si="28"/>
        <v>1</v>
      </c>
      <c r="O69" s="53">
        <f t="shared" si="29"/>
        <v>0</v>
      </c>
      <c r="P69" s="52">
        <f>MAX(P68-Eingabe!$E$28,0)</f>
        <v>0</v>
      </c>
      <c r="Q69" s="60">
        <f t="shared" si="30"/>
        <v>0</v>
      </c>
      <c r="R69" s="60">
        <f t="shared" si="31"/>
        <v>0</v>
      </c>
      <c r="S69" s="60">
        <f>Eingabe!$C$25+Eingabe!$E$25*'Berechnung Ratierlich heute'!F69</f>
        <v>39</v>
      </c>
      <c r="T69" s="4">
        <f t="shared" si="32"/>
        <v>-39</v>
      </c>
    </row>
    <row r="70" spans="1:20">
      <c r="A70" s="190">
        <v>60</v>
      </c>
      <c r="B70" s="5">
        <f t="shared" ref="B70" si="33">$G$3*H69+$H$3*I69+$I$3*J69</f>
        <v>0.01</v>
      </c>
      <c r="C70" s="40">
        <f t="shared" ref="C70" si="34">IF($B$3&gt;=A70,$B$2,0)/(1+B70)</f>
        <v>0</v>
      </c>
      <c r="D70" s="40">
        <f t="shared" ref="D70" si="35">MAX(IF(A70&gt;$B$3,0,T69),0)</f>
        <v>0</v>
      </c>
      <c r="E70" s="47">
        <f t="shared" ref="E70" si="36">(C70+D70)*$B$1</f>
        <v>0</v>
      </c>
      <c r="F70" s="47">
        <f t="shared" ref="F70" si="37">IF(A70&gt;$B$3,0,C70+E70+D70)</f>
        <v>0</v>
      </c>
      <c r="G70" s="190">
        <f>IF(VLOOKUP(A70,Wechsel!$A$11:$E$31,1)=A70,VLOOKUP(A70,Wechsel!$A$11:$E$31,1),0)</f>
        <v>0</v>
      </c>
      <c r="H70" s="35">
        <f>IF(G70&gt;0,VLOOKUP(A70,Wechsel!$A$11:$E$31,3),H69)</f>
        <v>0</v>
      </c>
      <c r="I70" s="35">
        <f>IF(G70&gt;0,VLOOKUP(A70,Wechsel!$A$11:$E$31,4),I69)</f>
        <v>0</v>
      </c>
      <c r="J70" s="35">
        <f>IF(G70&gt;0,VLOOKUP(A70,Wechsel!$A$11:$E$31,5),J69)</f>
        <v>1</v>
      </c>
      <c r="K70" s="52">
        <f t="shared" ref="K70" si="38">D70*$M$1*0.7*0.7*$M$2*H70+D70*$M$1*0.85*0.7*$M$2*I70+D70*$M$1*0.7*$M$2*J70</f>
        <v>0</v>
      </c>
      <c r="L70" s="53">
        <f t="shared" ref="L70" si="39">IF(G69&gt;0,K70,K70+L69)</f>
        <v>0</v>
      </c>
      <c r="M70" s="54">
        <f t="shared" ref="M70" si="40">IF(A70&gt;$B$3,0,IF(G69&gt;0,T69,C70+M69))</f>
        <v>0</v>
      </c>
      <c r="N70" s="59">
        <f t="shared" ref="N70" si="41">1-(H70*$G$5+I70*$H$5+J70*$I$5)</f>
        <v>1</v>
      </c>
      <c r="O70" s="53">
        <f t="shared" ref="O70" si="42">IF(G70&gt;0,(F70-M70)*N69,0)</f>
        <v>0</v>
      </c>
      <c r="P70" s="52">
        <f>MAX(P69-Eingabe!$E$28,0)</f>
        <v>0</v>
      </c>
      <c r="Q70" s="60">
        <f t="shared" ref="Q70" si="43">MAX(0,K70+O70*$M$2-P70-IF(G70&gt;0,-(L69+K70),0))</f>
        <v>0</v>
      </c>
      <c r="R70" s="60">
        <f t="shared" ref="R70" si="44">MAX(IF(G70&gt;0,(H70*$G$4+I70*$H$4+J70*$I$4)*(F70-Q70),0),0)</f>
        <v>0</v>
      </c>
      <c r="S70" s="60">
        <f>Eingabe!$C$25+Eingabe!$E$25*'Berechnung Ratierlich heute'!F70</f>
        <v>39</v>
      </c>
      <c r="T70" s="4">
        <f t="shared" ref="T70" si="45">F70-Q70-R70-S70</f>
        <v>-39</v>
      </c>
    </row>
  </sheetData>
  <mergeCells count="3">
    <mergeCell ref="F1:I1"/>
    <mergeCell ref="J1:J2"/>
    <mergeCell ref="J4:Q4"/>
  </mergeCells>
  <conditionalFormatting sqref="H1 H81:H1048576 G11:G80">
    <cfRule type="cellIs" dxfId="5" priority="1" operator="greaterThan">
      <formula>0</formula>
    </cfRule>
  </conditionalFormatting>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6"/>
  <dimension ref="A1:U70"/>
  <sheetViews>
    <sheetView showGridLines="0" zoomScale="85" zoomScaleNormal="85" workbookViewId="0">
      <pane ySplit="9" topLeftCell="A59" activePane="bottomLeft" state="frozen"/>
      <selection pane="bottomLeft" activeCell="K7" sqref="K7"/>
    </sheetView>
  </sheetViews>
  <sheetFormatPr baseColWidth="10" defaultColWidth="11.42578125" defaultRowHeight="15"/>
  <cols>
    <col min="1" max="1" width="11.5703125" style="27" bestFit="1" customWidth="1"/>
    <col min="2" max="2" width="17" style="144" bestFit="1" customWidth="1"/>
    <col min="3" max="3" width="11" style="27" bestFit="1" customWidth="1"/>
    <col min="4" max="4" width="22.5703125" style="27" bestFit="1" customWidth="1"/>
    <col min="5" max="5" width="8" style="27" bestFit="1" customWidth="1"/>
    <col min="6" max="6" width="17" style="27" bestFit="1" customWidth="1"/>
    <col min="7" max="7" width="10.85546875" style="27" bestFit="1" customWidth="1"/>
    <col min="8" max="8" width="17.85546875" style="27" bestFit="1" customWidth="1"/>
    <col min="9" max="9" width="17.5703125" style="27" bestFit="1" customWidth="1"/>
    <col min="10" max="10" width="27.85546875" style="27" bestFit="1" customWidth="1"/>
    <col min="11" max="11" width="16.42578125" style="27" bestFit="1" customWidth="1"/>
    <col min="12" max="12" width="25.7109375" style="27" bestFit="1" customWidth="1"/>
    <col min="13" max="13" width="15.42578125" style="27" bestFit="1" customWidth="1"/>
    <col min="14" max="14" width="13.42578125" style="27" bestFit="1" customWidth="1"/>
    <col min="15" max="15" width="27.140625" style="27" bestFit="1" customWidth="1"/>
    <col min="16" max="16" width="20" style="27" bestFit="1" customWidth="1"/>
    <col min="17" max="17" width="13.7109375" style="60" customWidth="1"/>
    <col min="18" max="18" width="14.7109375" style="27" bestFit="1" customWidth="1"/>
    <col min="19" max="19" width="14.7109375" style="27" customWidth="1"/>
    <col min="20" max="20" width="15" style="27" bestFit="1" customWidth="1"/>
    <col min="21" max="21" width="18.7109375" style="27" bestFit="1" customWidth="1"/>
    <col min="22" max="16384" width="11.42578125" style="27"/>
  </cols>
  <sheetData>
    <row r="1" spans="1:21">
      <c r="A1" s="39" t="s">
        <v>0</v>
      </c>
      <c r="B1" s="5">
        <f>Hilfe!E3-Hilfe!G16</f>
        <v>0.06</v>
      </c>
      <c r="D1" s="3"/>
      <c r="F1" s="298" t="s">
        <v>10</v>
      </c>
      <c r="G1" s="299"/>
      <c r="H1" s="299"/>
      <c r="I1" s="300"/>
      <c r="J1" s="316"/>
      <c r="L1" s="27" t="s">
        <v>19</v>
      </c>
      <c r="M1" s="5">
        <f>MIN(2%,B1)</f>
        <v>0.02</v>
      </c>
      <c r="P1" s="5"/>
    </row>
    <row r="2" spans="1:21">
      <c r="A2" s="39" t="s">
        <v>41</v>
      </c>
      <c r="B2" s="1">
        <f>Eingabe!C10*Hilfe!B4</f>
        <v>0</v>
      </c>
      <c r="D2" s="1"/>
      <c r="F2" s="42"/>
      <c r="G2" s="29" t="s">
        <v>11</v>
      </c>
      <c r="H2" s="29" t="s">
        <v>12</v>
      </c>
      <c r="I2" s="43" t="s">
        <v>31</v>
      </c>
      <c r="J2" s="317"/>
      <c r="L2" s="27" t="s">
        <v>42</v>
      </c>
      <c r="M2" s="5">
        <f>'Berechnung Ratierlich heute'!M2</f>
        <v>0.26374999999999998</v>
      </c>
      <c r="P2" s="3"/>
    </row>
    <row r="3" spans="1:21">
      <c r="A3" s="39" t="s">
        <v>14</v>
      </c>
      <c r="B3" s="27">
        <f>Eingabe!C9</f>
        <v>12</v>
      </c>
      <c r="F3" s="55" t="s">
        <v>10</v>
      </c>
      <c r="G3" s="44">
        <f>Eingabe!C21</f>
        <v>0.01</v>
      </c>
      <c r="H3" s="44">
        <f>Eingabe!E21</f>
        <v>0.01</v>
      </c>
      <c r="I3" s="45">
        <f>Eingabe!G21</f>
        <v>0.01</v>
      </c>
      <c r="J3" s="64"/>
    </row>
    <row r="4" spans="1:21" ht="15.75" thickBot="1">
      <c r="F4" s="56" t="s">
        <v>32</v>
      </c>
      <c r="G4" s="46">
        <f>Eingabe!C22</f>
        <v>0.01</v>
      </c>
      <c r="H4" s="46">
        <f>Eingabe!E22</f>
        <v>0.01</v>
      </c>
      <c r="I4" s="46">
        <f>Eingabe!G22</f>
        <v>0.01</v>
      </c>
      <c r="J4" s="321" t="s">
        <v>48</v>
      </c>
      <c r="K4" s="322"/>
      <c r="L4" s="322"/>
      <c r="M4" s="322"/>
      <c r="N4" s="322"/>
      <c r="O4" s="322"/>
      <c r="P4" s="322"/>
      <c r="Q4" s="322"/>
    </row>
    <row r="5" spans="1:21" ht="15.75" thickBot="1">
      <c r="F5" s="57" t="s">
        <v>6</v>
      </c>
      <c r="G5" s="58">
        <v>0.3</v>
      </c>
      <c r="H5" s="58">
        <v>0.15</v>
      </c>
      <c r="I5" s="58">
        <v>0</v>
      </c>
      <c r="J5" s="66" t="s">
        <v>2</v>
      </c>
      <c r="K5" s="67" t="s">
        <v>47</v>
      </c>
      <c r="L5" s="67" t="s">
        <v>13</v>
      </c>
      <c r="M5" s="67" t="s">
        <v>118</v>
      </c>
      <c r="N5" s="67" t="s">
        <v>17</v>
      </c>
      <c r="O5" s="67" t="s">
        <v>43</v>
      </c>
      <c r="P5" s="67" t="s">
        <v>46</v>
      </c>
      <c r="Q5" s="71" t="s">
        <v>15</v>
      </c>
      <c r="R5" s="60"/>
    </row>
    <row r="6" spans="1:21" ht="15.75" thickBot="1">
      <c r="J6" s="68">
        <f>B3</f>
        <v>12</v>
      </c>
      <c r="K6" s="69">
        <f>MAX(VLOOKUP(J6,A11:AD70,20),0)</f>
        <v>0</v>
      </c>
      <c r="L6" s="69">
        <f>MAX(VLOOKUP(J6,A11:AD60,13),0)</f>
        <v>0</v>
      </c>
      <c r="M6" s="70">
        <f>VLOOKUP(J6,A11:AD60,14)</f>
        <v>1</v>
      </c>
      <c r="N6" s="69">
        <f>(K6-L6)*M6</f>
        <v>0</v>
      </c>
      <c r="O6" s="69">
        <f>VLOOKUP(J6,A11:AD60,12)</f>
        <v>0</v>
      </c>
      <c r="P6" s="69">
        <f>VLOOKUP(J6,A11:AD60,16)</f>
        <v>0</v>
      </c>
      <c r="Q6" s="72">
        <f>K6-(N6-P6-O6)*M2</f>
        <v>0</v>
      </c>
      <c r="R6" s="60"/>
    </row>
    <row r="9" spans="1:21">
      <c r="A9" s="32" t="s">
        <v>2</v>
      </c>
      <c r="B9" s="32" t="s">
        <v>10</v>
      </c>
      <c r="C9" s="32" t="s">
        <v>3</v>
      </c>
      <c r="D9" s="32" t="s">
        <v>45</v>
      </c>
      <c r="E9" s="32" t="s">
        <v>0</v>
      </c>
      <c r="F9" s="32" t="s">
        <v>7</v>
      </c>
      <c r="G9" s="32" t="s">
        <v>8</v>
      </c>
      <c r="H9" s="32" t="s">
        <v>4</v>
      </c>
      <c r="I9" s="32" t="s">
        <v>5</v>
      </c>
      <c r="J9" s="32" t="s">
        <v>31</v>
      </c>
      <c r="K9" s="32" t="s">
        <v>20</v>
      </c>
      <c r="L9" s="32" t="s">
        <v>43</v>
      </c>
      <c r="M9" s="32" t="s">
        <v>13</v>
      </c>
      <c r="N9" s="32" t="s">
        <v>6</v>
      </c>
      <c r="O9" s="32" t="s">
        <v>44</v>
      </c>
      <c r="P9" s="32" t="s">
        <v>46</v>
      </c>
      <c r="Q9" s="61" t="s">
        <v>9</v>
      </c>
      <c r="R9" s="32" t="s">
        <v>18</v>
      </c>
      <c r="S9" s="32" t="s">
        <v>52</v>
      </c>
      <c r="T9" s="32" t="s">
        <v>47</v>
      </c>
      <c r="U9" s="2"/>
    </row>
    <row r="10" spans="1:21">
      <c r="A10" s="51">
        <v>0</v>
      </c>
      <c r="B10" s="51"/>
      <c r="C10" s="2"/>
      <c r="D10" s="2"/>
      <c r="E10" s="2"/>
      <c r="F10" s="2"/>
      <c r="G10" s="2"/>
      <c r="H10" s="3">
        <f>Eingabe!C18</f>
        <v>1</v>
      </c>
      <c r="I10" s="3">
        <f>Eingabe!E18</f>
        <v>0</v>
      </c>
      <c r="J10" s="3">
        <f>Eingabe!G18</f>
        <v>0</v>
      </c>
      <c r="K10" s="3"/>
      <c r="L10" s="3"/>
      <c r="M10" s="3"/>
      <c r="N10" s="3"/>
      <c r="O10" s="3"/>
      <c r="P10" s="2"/>
      <c r="Q10" s="62"/>
      <c r="R10" s="2"/>
      <c r="S10" s="2"/>
      <c r="T10" s="2"/>
      <c r="U10" s="2"/>
    </row>
    <row r="11" spans="1:21">
      <c r="A11" s="27">
        <v>1</v>
      </c>
      <c r="B11" s="3">
        <f>$G$3*H10+$H$3*I10+$I$3*J10</f>
        <v>0.01</v>
      </c>
      <c r="C11" s="40">
        <f t="shared" ref="C11:C42" si="0">IF($B$3&gt;=A11,$B$2,0)/(1+B11)</f>
        <v>0</v>
      </c>
      <c r="D11" s="40">
        <f>C11</f>
        <v>0</v>
      </c>
      <c r="E11" s="47">
        <f>C11*$B$1</f>
        <v>0</v>
      </c>
      <c r="F11" s="47">
        <f>C11+E11</f>
        <v>0</v>
      </c>
      <c r="G11" s="27">
        <f>VLOOKUP(A11,Wechsel!$A$11:$E$31,1)</f>
        <v>0</v>
      </c>
      <c r="H11" s="35">
        <f>IF(G11&gt;0,VLOOKUP(A11,Wechsel!$A$11:$E$31,3),H10)</f>
        <v>1</v>
      </c>
      <c r="I11" s="35">
        <f>IF(G11&gt;0,VLOOKUP(A11,Wechsel!$A$11:$E$31,4),I10)</f>
        <v>0</v>
      </c>
      <c r="J11" s="35">
        <f>IF(G11&gt;0,VLOOKUP(A11,Wechsel!$A$11:$E$31,5),J10)</f>
        <v>0</v>
      </c>
      <c r="K11" s="52">
        <f>D11*$M$1*0.7*0.7*$M$2*H11+D11*$M$1*0.85*0.7*$M$2*I11+D11*$M$1*0.7*$M$2*J11</f>
        <v>0</v>
      </c>
      <c r="L11" s="53">
        <f>K11+L10</f>
        <v>0</v>
      </c>
      <c r="M11" s="54">
        <f>C11</f>
        <v>0</v>
      </c>
      <c r="N11" s="59">
        <f>1-(H11*$G$5+I11*$H$5+J11*$I$5)</f>
        <v>0.7</v>
      </c>
      <c r="O11" s="53">
        <f>IF(G11&gt;0,(F11-M11)*N11,0)</f>
        <v>0</v>
      </c>
      <c r="P11" s="52">
        <f>MAX(Eingabe!C28,0)</f>
        <v>0</v>
      </c>
      <c r="Q11" s="60">
        <f>MAX(0,K11+O11*$M$2-P11-IF(G11&gt;0,-(L10+K11),0))</f>
        <v>0</v>
      </c>
      <c r="R11" s="60">
        <f>MAX(IF(G11&gt;0,(H11*$G$4+I11*$H$4+J11*$I$4)*F11,0),0)</f>
        <v>0</v>
      </c>
      <c r="S11" s="60">
        <f>Eingabe!$C$25+Eingabe!$E$25*'Berechnung Ratierlich 2%'!F11</f>
        <v>39</v>
      </c>
      <c r="T11" s="4">
        <f>F11-Q11-R11-S11</f>
        <v>-39</v>
      </c>
    </row>
    <row r="12" spans="1:21">
      <c r="A12" s="27">
        <v>2</v>
      </c>
      <c r="B12" s="3">
        <f t="shared" ref="B12:B60" si="1">$G$3*H11+$H$3*I11+$I$3*J11</f>
        <v>0.01</v>
      </c>
      <c r="C12" s="40">
        <f t="shared" si="0"/>
        <v>0</v>
      </c>
      <c r="D12" s="40">
        <f t="shared" ref="D12:D43" si="2">MAX(IF(A12&gt;$B$3,0,T11),0)</f>
        <v>0</v>
      </c>
      <c r="E12" s="47">
        <f t="shared" ref="E12:E43" si="3">(C12+D12)*$B$1</f>
        <v>0</v>
      </c>
      <c r="F12" s="47">
        <f t="shared" ref="F12:F43" si="4">IF(A12&gt;$B$3,0,C12+E12+D12)</f>
        <v>0</v>
      </c>
      <c r="G12" s="27">
        <f>IF(VLOOKUP(A12,Wechsel!$A$11:$E$31,1)=A12,VLOOKUP(A12,Wechsel!$A$11:$E$31,1),0)</f>
        <v>0</v>
      </c>
      <c r="H12" s="35">
        <f>IF(G12&gt;0,VLOOKUP(A12,Wechsel!$A$11:$E$31,3),H11)</f>
        <v>1</v>
      </c>
      <c r="I12" s="35">
        <f>IF(G12&gt;0,VLOOKUP(A12,Wechsel!$A$11:$E$31,4),I11)</f>
        <v>0</v>
      </c>
      <c r="J12" s="35">
        <f>IF(G12&gt;0,VLOOKUP(A12,Wechsel!$A$11:$E$31,5),J11)</f>
        <v>0</v>
      </c>
      <c r="K12" s="52">
        <f>D12*$M$1*0.7*0.7*$M$2*H12+D12*$M$1*0.85*0.7*$M$2*I12+D12*$M$1*0.7*$M$2*J12</f>
        <v>0</v>
      </c>
      <c r="L12" s="53">
        <f>IF(G11&gt;0,K12,K12+L11)</f>
        <v>0</v>
      </c>
      <c r="M12" s="54">
        <f t="shared" ref="M12:M43" si="5">IF(A12&gt;$B$3,0,IF(G11&gt;0,T11,C12+M11))</f>
        <v>0</v>
      </c>
      <c r="N12" s="59">
        <f t="shared" ref="N12:N60" si="6">1-(H12*$G$5+I12*$H$5+J12*$I$5)</f>
        <v>0.7</v>
      </c>
      <c r="O12" s="53">
        <f>IF(G12&gt;0,(F12-M12)*N11,0)</f>
        <v>0</v>
      </c>
      <c r="P12" s="52">
        <f>MAX(P11-Eingabe!$E$28,0)</f>
        <v>0</v>
      </c>
      <c r="Q12" s="60">
        <f t="shared" ref="Q12:Q60" si="7">MAX(0,K12+O12*$M$2-P12-IF(G12&gt;0,-(L11+K12),0))</f>
        <v>0</v>
      </c>
      <c r="R12" s="60">
        <f t="shared" ref="R12:R18" si="8">MAX(IF(G12&gt;0,(H12*$G$4+I12*$H$4+J12*$I$4)*(F12-Q12),0),0)</f>
        <v>0</v>
      </c>
      <c r="S12" s="60">
        <f>Eingabe!$C$25+Eingabe!$E$25*'Berechnung Ratierlich 2%'!F12</f>
        <v>39</v>
      </c>
      <c r="T12" s="4">
        <f t="shared" ref="T12:T60" si="9">F12-Q12-R12-S12</f>
        <v>-39</v>
      </c>
    </row>
    <row r="13" spans="1:21">
      <c r="A13" s="27">
        <v>3</v>
      </c>
      <c r="B13" s="3">
        <f t="shared" si="1"/>
        <v>0.01</v>
      </c>
      <c r="C13" s="40">
        <f t="shared" si="0"/>
        <v>0</v>
      </c>
      <c r="D13" s="40">
        <f t="shared" si="2"/>
        <v>0</v>
      </c>
      <c r="E13" s="47">
        <f t="shared" si="3"/>
        <v>0</v>
      </c>
      <c r="F13" s="47">
        <f t="shared" si="4"/>
        <v>0</v>
      </c>
      <c r="G13" s="27">
        <f>IF(VLOOKUP(A13,Wechsel!$A$11:$E$31,1)=A13,VLOOKUP(A13,Wechsel!$A$11:$E$31,1),0)</f>
        <v>3</v>
      </c>
      <c r="H13" s="35">
        <f>IF(G13&gt;0,VLOOKUP(A13,Wechsel!$A$11:$E$31,3),H12)</f>
        <v>0.66666666666666674</v>
      </c>
      <c r="I13" s="35">
        <f>IF(G13&gt;0,VLOOKUP(A13,Wechsel!$A$11:$E$31,4),I12)</f>
        <v>0</v>
      </c>
      <c r="J13" s="35">
        <f>IF(G13&gt;0,VLOOKUP(A13,Wechsel!$A$11:$E$31,5),J12)</f>
        <v>0.33333333333333326</v>
      </c>
      <c r="K13" s="52">
        <f t="shared" ref="K13:K60" si="10">D13*$M$1*0.7*0.7*$M$2*H13+D13*$M$1*0.85*0.7*$M$2*I13+D13*$M$1*0.7*$M$2*J13</f>
        <v>0</v>
      </c>
      <c r="L13" s="53">
        <f t="shared" ref="L13:L60" si="11">IF(G12&gt;0,K13,K13+L12)</f>
        <v>0</v>
      </c>
      <c r="M13" s="54">
        <f t="shared" si="5"/>
        <v>0</v>
      </c>
      <c r="N13" s="59">
        <f t="shared" si="6"/>
        <v>0.8</v>
      </c>
      <c r="O13" s="53">
        <f t="shared" ref="O13:O60" si="12">IF(G13&gt;0,(F13-M13)*N12,0)</f>
        <v>0</v>
      </c>
      <c r="P13" s="52">
        <f>MAX(P12-Eingabe!$E$28,0)</f>
        <v>0</v>
      </c>
      <c r="Q13" s="60">
        <f t="shared" si="7"/>
        <v>0</v>
      </c>
      <c r="R13" s="60">
        <f t="shared" si="8"/>
        <v>0</v>
      </c>
      <c r="S13" s="60">
        <f>Eingabe!$C$25+Eingabe!$E$25*'Berechnung Ratierlich 2%'!F13</f>
        <v>39</v>
      </c>
      <c r="T13" s="4">
        <f t="shared" si="9"/>
        <v>-39</v>
      </c>
    </row>
    <row r="14" spans="1:21">
      <c r="A14" s="27">
        <v>4</v>
      </c>
      <c r="B14" s="3">
        <f t="shared" si="1"/>
        <v>0.01</v>
      </c>
      <c r="C14" s="40">
        <f t="shared" si="0"/>
        <v>0</v>
      </c>
      <c r="D14" s="40">
        <f t="shared" si="2"/>
        <v>0</v>
      </c>
      <c r="E14" s="47">
        <f t="shared" si="3"/>
        <v>0</v>
      </c>
      <c r="F14" s="47">
        <f t="shared" si="4"/>
        <v>0</v>
      </c>
      <c r="G14" s="27">
        <f>IF(VLOOKUP(A14,Wechsel!$A$11:$E$31,1)=A14,VLOOKUP(A14,Wechsel!$A$11:$E$31,1),0)</f>
        <v>0</v>
      </c>
      <c r="H14" s="35">
        <f>IF(G14&gt;0,VLOOKUP(A14,Wechsel!$A$11:$E$31,3),H13)</f>
        <v>0.66666666666666674</v>
      </c>
      <c r="I14" s="35">
        <f>IF(G14&gt;0,VLOOKUP(A14,Wechsel!$A$11:$E$31,4),I13)</f>
        <v>0</v>
      </c>
      <c r="J14" s="35">
        <f>IF(G14&gt;0,VLOOKUP(A14,Wechsel!$A$11:$E$31,5),J13)</f>
        <v>0.33333333333333326</v>
      </c>
      <c r="K14" s="52">
        <f t="shared" si="10"/>
        <v>0</v>
      </c>
      <c r="L14" s="53">
        <f t="shared" si="11"/>
        <v>0</v>
      </c>
      <c r="M14" s="54">
        <f t="shared" si="5"/>
        <v>-39</v>
      </c>
      <c r="N14" s="59">
        <f t="shared" si="6"/>
        <v>0.8</v>
      </c>
      <c r="O14" s="53">
        <f t="shared" si="12"/>
        <v>0</v>
      </c>
      <c r="P14" s="52">
        <f>MAX(P13-Eingabe!$E$28,0)</f>
        <v>0</v>
      </c>
      <c r="Q14" s="60">
        <f t="shared" si="7"/>
        <v>0</v>
      </c>
      <c r="R14" s="60">
        <f t="shared" si="8"/>
        <v>0</v>
      </c>
      <c r="S14" s="60">
        <f>Eingabe!$C$25+Eingabe!$E$25*'Berechnung Ratierlich 2%'!F14</f>
        <v>39</v>
      </c>
      <c r="T14" s="4">
        <f t="shared" si="9"/>
        <v>-39</v>
      </c>
    </row>
    <row r="15" spans="1:21">
      <c r="A15" s="27">
        <v>5</v>
      </c>
      <c r="B15" s="3">
        <f t="shared" si="1"/>
        <v>0.01</v>
      </c>
      <c r="C15" s="40">
        <f t="shared" si="0"/>
        <v>0</v>
      </c>
      <c r="D15" s="40">
        <f t="shared" si="2"/>
        <v>0</v>
      </c>
      <c r="E15" s="47">
        <f t="shared" si="3"/>
        <v>0</v>
      </c>
      <c r="F15" s="47">
        <f t="shared" si="4"/>
        <v>0</v>
      </c>
      <c r="G15" s="27">
        <f>IF(VLOOKUP(A15,Wechsel!$A$11:$E$31,1)=A15,VLOOKUP(A15,Wechsel!$A$11:$E$31,1),0)</f>
        <v>0</v>
      </c>
      <c r="H15" s="35">
        <f>IF(G15&gt;0,VLOOKUP(A15,Wechsel!$A$11:$E$31,3),H14)</f>
        <v>0.66666666666666674</v>
      </c>
      <c r="I15" s="35">
        <f>IF(G15&gt;0,VLOOKUP(A15,Wechsel!$A$11:$E$31,4),I14)</f>
        <v>0</v>
      </c>
      <c r="J15" s="35">
        <f>IF(G15&gt;0,VLOOKUP(A15,Wechsel!$A$11:$E$31,5),J14)</f>
        <v>0.33333333333333326</v>
      </c>
      <c r="K15" s="52">
        <f t="shared" si="10"/>
        <v>0</v>
      </c>
      <c r="L15" s="53">
        <f t="shared" si="11"/>
        <v>0</v>
      </c>
      <c r="M15" s="54">
        <f t="shared" si="5"/>
        <v>-39</v>
      </c>
      <c r="N15" s="59">
        <f t="shared" si="6"/>
        <v>0.8</v>
      </c>
      <c r="O15" s="53">
        <f t="shared" si="12"/>
        <v>0</v>
      </c>
      <c r="P15" s="52">
        <f>MAX(P14-Eingabe!$E$28,0)</f>
        <v>0</v>
      </c>
      <c r="Q15" s="60">
        <f t="shared" si="7"/>
        <v>0</v>
      </c>
      <c r="R15" s="60">
        <f t="shared" si="8"/>
        <v>0</v>
      </c>
      <c r="S15" s="60">
        <f>Eingabe!$C$25+Eingabe!$E$25*'Berechnung Ratierlich 2%'!F15</f>
        <v>39</v>
      </c>
      <c r="T15" s="4">
        <f t="shared" si="9"/>
        <v>-39</v>
      </c>
    </row>
    <row r="16" spans="1:21">
      <c r="A16" s="27">
        <v>6</v>
      </c>
      <c r="B16" s="3">
        <f t="shared" si="1"/>
        <v>0.01</v>
      </c>
      <c r="C16" s="40">
        <f t="shared" si="0"/>
        <v>0</v>
      </c>
      <c r="D16" s="40">
        <f t="shared" si="2"/>
        <v>0</v>
      </c>
      <c r="E16" s="47">
        <f t="shared" si="3"/>
        <v>0</v>
      </c>
      <c r="F16" s="47">
        <f t="shared" si="4"/>
        <v>0</v>
      </c>
      <c r="G16" s="27">
        <f>IF(VLOOKUP(A16,Wechsel!$A$11:$E$31,1)=A16,VLOOKUP(A16,Wechsel!$A$11:$E$31,1),0)</f>
        <v>6</v>
      </c>
      <c r="H16" s="35">
        <f>IF(G16&gt;0,VLOOKUP(A16,Wechsel!$A$11:$E$31,3),H15)</f>
        <v>0.33333333333333343</v>
      </c>
      <c r="I16" s="35">
        <f>IF(G16&gt;0,VLOOKUP(A16,Wechsel!$A$11:$E$31,4),I15)</f>
        <v>0</v>
      </c>
      <c r="J16" s="35">
        <f>IF(G16&gt;0,VLOOKUP(A16,Wechsel!$A$11:$E$31,5),J15)</f>
        <v>0.66666666666666652</v>
      </c>
      <c r="K16" s="52">
        <f t="shared" si="10"/>
        <v>0</v>
      </c>
      <c r="L16" s="53">
        <f t="shared" si="11"/>
        <v>0</v>
      </c>
      <c r="M16" s="54">
        <f t="shared" si="5"/>
        <v>-39</v>
      </c>
      <c r="N16" s="59">
        <f t="shared" si="6"/>
        <v>0.9</v>
      </c>
      <c r="O16" s="53">
        <f t="shared" si="12"/>
        <v>31.200000000000003</v>
      </c>
      <c r="P16" s="52">
        <f>MAX(P15-Eingabe!$E$28,0)</f>
        <v>0</v>
      </c>
      <c r="Q16" s="60">
        <f t="shared" si="7"/>
        <v>8.229000000000001</v>
      </c>
      <c r="R16" s="60">
        <f t="shared" si="8"/>
        <v>0</v>
      </c>
      <c r="S16" s="60">
        <f>Eingabe!$C$25+Eingabe!$E$25*'Berechnung Ratierlich 2%'!F16</f>
        <v>39</v>
      </c>
      <c r="T16" s="4">
        <f t="shared" si="9"/>
        <v>-47.228999999999999</v>
      </c>
    </row>
    <row r="17" spans="1:20">
      <c r="A17" s="27">
        <v>7</v>
      </c>
      <c r="B17" s="3">
        <f t="shared" si="1"/>
        <v>0.01</v>
      </c>
      <c r="C17" s="40">
        <f t="shared" si="0"/>
        <v>0</v>
      </c>
      <c r="D17" s="40">
        <f t="shared" si="2"/>
        <v>0</v>
      </c>
      <c r="E17" s="47">
        <f t="shared" si="3"/>
        <v>0</v>
      </c>
      <c r="F17" s="47">
        <f t="shared" si="4"/>
        <v>0</v>
      </c>
      <c r="G17" s="27">
        <f>IF(VLOOKUP(A17,Wechsel!$A$11:$E$31,1)=A17,VLOOKUP(A17,Wechsel!$A$11:$E$31,1),0)</f>
        <v>0</v>
      </c>
      <c r="H17" s="35">
        <f>IF(G17&gt;0,VLOOKUP(A17,Wechsel!$A$11:$E$31,3),H16)</f>
        <v>0.33333333333333343</v>
      </c>
      <c r="I17" s="35">
        <f>IF(G17&gt;0,VLOOKUP(A17,Wechsel!$A$11:$E$31,4),I16)</f>
        <v>0</v>
      </c>
      <c r="J17" s="35">
        <f>IF(G17&gt;0,VLOOKUP(A17,Wechsel!$A$11:$E$31,5),J16)</f>
        <v>0.66666666666666652</v>
      </c>
      <c r="K17" s="52">
        <f t="shared" si="10"/>
        <v>0</v>
      </c>
      <c r="L17" s="53">
        <f t="shared" si="11"/>
        <v>0</v>
      </c>
      <c r="M17" s="54">
        <f t="shared" si="5"/>
        <v>-47.228999999999999</v>
      </c>
      <c r="N17" s="59">
        <f t="shared" si="6"/>
        <v>0.9</v>
      </c>
      <c r="O17" s="53">
        <f t="shared" si="12"/>
        <v>0</v>
      </c>
      <c r="P17" s="52">
        <f>MAX(P16-Eingabe!$E$28,0)</f>
        <v>0</v>
      </c>
      <c r="Q17" s="60">
        <f t="shared" si="7"/>
        <v>0</v>
      </c>
      <c r="R17" s="60">
        <f t="shared" si="8"/>
        <v>0</v>
      </c>
      <c r="S17" s="60">
        <f>Eingabe!$C$25+Eingabe!$E$25*'Berechnung Ratierlich 2%'!F17</f>
        <v>39</v>
      </c>
      <c r="T17" s="4">
        <f t="shared" si="9"/>
        <v>-39</v>
      </c>
    </row>
    <row r="18" spans="1:20">
      <c r="A18" s="27">
        <v>8</v>
      </c>
      <c r="B18" s="3">
        <f t="shared" si="1"/>
        <v>0.01</v>
      </c>
      <c r="C18" s="40">
        <f t="shared" si="0"/>
        <v>0</v>
      </c>
      <c r="D18" s="40">
        <f t="shared" si="2"/>
        <v>0</v>
      </c>
      <c r="E18" s="47">
        <f t="shared" si="3"/>
        <v>0</v>
      </c>
      <c r="F18" s="47">
        <f t="shared" si="4"/>
        <v>0</v>
      </c>
      <c r="G18" s="27">
        <f>IF(VLOOKUP(A18,Wechsel!$A$11:$E$31,1)=A18,VLOOKUP(A18,Wechsel!$A$11:$E$31,1),0)</f>
        <v>0</v>
      </c>
      <c r="H18" s="35">
        <f>IF(G18&gt;0,VLOOKUP(A18,Wechsel!$A$11:$E$31,3),H17)</f>
        <v>0.33333333333333343</v>
      </c>
      <c r="I18" s="35">
        <f>IF(G18&gt;0,VLOOKUP(A18,Wechsel!$A$11:$E$31,4),I17)</f>
        <v>0</v>
      </c>
      <c r="J18" s="35">
        <f>IF(G18&gt;0,VLOOKUP(A18,Wechsel!$A$11:$E$31,5),J17)</f>
        <v>0.66666666666666652</v>
      </c>
      <c r="K18" s="52">
        <f t="shared" si="10"/>
        <v>0</v>
      </c>
      <c r="L18" s="53">
        <f t="shared" si="11"/>
        <v>0</v>
      </c>
      <c r="M18" s="54">
        <f t="shared" si="5"/>
        <v>-47.228999999999999</v>
      </c>
      <c r="N18" s="59">
        <f t="shared" si="6"/>
        <v>0.9</v>
      </c>
      <c r="O18" s="53">
        <f t="shared" si="12"/>
        <v>0</v>
      </c>
      <c r="P18" s="52">
        <f>MAX(P17-Eingabe!$E$28,0)</f>
        <v>0</v>
      </c>
      <c r="Q18" s="60">
        <f t="shared" si="7"/>
        <v>0</v>
      </c>
      <c r="R18" s="60">
        <f t="shared" si="8"/>
        <v>0</v>
      </c>
      <c r="S18" s="60">
        <f>Eingabe!$C$25+Eingabe!$E$25*'Berechnung Ratierlich 2%'!F18</f>
        <v>39</v>
      </c>
      <c r="T18" s="4">
        <f t="shared" si="9"/>
        <v>-39</v>
      </c>
    </row>
    <row r="19" spans="1:20">
      <c r="A19" s="27">
        <v>9</v>
      </c>
      <c r="B19" s="3">
        <f t="shared" si="1"/>
        <v>0.01</v>
      </c>
      <c r="C19" s="40">
        <f t="shared" si="0"/>
        <v>0</v>
      </c>
      <c r="D19" s="40">
        <f t="shared" si="2"/>
        <v>0</v>
      </c>
      <c r="E19" s="47">
        <f t="shared" si="3"/>
        <v>0</v>
      </c>
      <c r="F19" s="47">
        <f t="shared" si="4"/>
        <v>0</v>
      </c>
      <c r="G19" s="27">
        <f>IF(VLOOKUP(A19,Wechsel!$A$11:$E$31,1)=A19,VLOOKUP(A19,Wechsel!$A$11:$E$31,1),0)</f>
        <v>9</v>
      </c>
      <c r="H19" s="35">
        <f>IF(G19&gt;0,VLOOKUP(A19,Wechsel!$A$11:$E$31,3),H18)</f>
        <v>0</v>
      </c>
      <c r="I19" s="35">
        <f>IF(G19&gt;0,VLOOKUP(A19,Wechsel!$A$11:$E$31,4),I18)</f>
        <v>0</v>
      </c>
      <c r="J19" s="35">
        <f>IF(G19&gt;0,VLOOKUP(A19,Wechsel!$A$11:$E$31,5),J18)</f>
        <v>1</v>
      </c>
      <c r="K19" s="52">
        <f t="shared" si="10"/>
        <v>0</v>
      </c>
      <c r="L19" s="53">
        <f t="shared" si="11"/>
        <v>0</v>
      </c>
      <c r="M19" s="54">
        <f t="shared" si="5"/>
        <v>-47.228999999999999</v>
      </c>
      <c r="N19" s="59">
        <f t="shared" si="6"/>
        <v>1</v>
      </c>
      <c r="O19" s="53">
        <f t="shared" si="12"/>
        <v>42.506100000000004</v>
      </c>
      <c r="P19" s="52">
        <f>MAX(P18-Eingabe!$E$28,0)</f>
        <v>0</v>
      </c>
      <c r="Q19" s="60">
        <f t="shared" si="7"/>
        <v>11.210983875</v>
      </c>
      <c r="R19" s="60">
        <f>MAX(IF(G19&gt;0,(H19*$G$4+I19*$H$4+J19*$I$4)*(F19-Q19),0),0)</f>
        <v>0</v>
      </c>
      <c r="S19" s="60">
        <f>Eingabe!$C$25+Eingabe!$E$25*'Berechnung Ratierlich 2%'!F19</f>
        <v>39</v>
      </c>
      <c r="T19" s="4">
        <f t="shared" si="9"/>
        <v>-50.210983874999997</v>
      </c>
    </row>
    <row r="20" spans="1:20">
      <c r="A20" s="27">
        <v>10</v>
      </c>
      <c r="B20" s="3">
        <f t="shared" si="1"/>
        <v>0.01</v>
      </c>
      <c r="C20" s="40">
        <f t="shared" si="0"/>
        <v>0</v>
      </c>
      <c r="D20" s="40">
        <f t="shared" si="2"/>
        <v>0</v>
      </c>
      <c r="E20" s="47">
        <f t="shared" si="3"/>
        <v>0</v>
      </c>
      <c r="F20" s="47">
        <f t="shared" si="4"/>
        <v>0</v>
      </c>
      <c r="G20" s="27">
        <f>IF(VLOOKUP(A20,Wechsel!$A$11:$E$31,1)=A20,VLOOKUP(A20,Wechsel!$A$11:$E$31,1),0)</f>
        <v>0</v>
      </c>
      <c r="H20" s="35">
        <f>IF(G20&gt;0,VLOOKUP(A20,Wechsel!$A$11:$E$31,3),H19)</f>
        <v>0</v>
      </c>
      <c r="I20" s="35">
        <f>IF(G20&gt;0,VLOOKUP(A20,Wechsel!$A$11:$E$31,4),I19)</f>
        <v>0</v>
      </c>
      <c r="J20" s="35">
        <f>IF(G20&gt;0,VLOOKUP(A20,Wechsel!$A$11:$E$31,5),J19)</f>
        <v>1</v>
      </c>
      <c r="K20" s="52">
        <f t="shared" si="10"/>
        <v>0</v>
      </c>
      <c r="L20" s="53">
        <f t="shared" si="11"/>
        <v>0</v>
      </c>
      <c r="M20" s="54">
        <f t="shared" si="5"/>
        <v>-50.210983874999997</v>
      </c>
      <c r="N20" s="59">
        <f t="shared" si="6"/>
        <v>1</v>
      </c>
      <c r="O20" s="53">
        <f t="shared" si="12"/>
        <v>0</v>
      </c>
      <c r="P20" s="52">
        <f>MAX(P19-Eingabe!$E$28,0)</f>
        <v>0</v>
      </c>
      <c r="Q20" s="60">
        <f t="shared" si="7"/>
        <v>0</v>
      </c>
      <c r="R20" s="60">
        <f t="shared" ref="R20:R60" si="13">MAX(IF(G20&gt;0,(H20*$G$4+I20*$H$4+J20*$I$4)*(F20-Q20),0),0)</f>
        <v>0</v>
      </c>
      <c r="S20" s="60">
        <f>Eingabe!$C$25+Eingabe!$E$25*'Berechnung Ratierlich 2%'!F20</f>
        <v>39</v>
      </c>
      <c r="T20" s="4">
        <f t="shared" si="9"/>
        <v>-39</v>
      </c>
    </row>
    <row r="21" spans="1:20">
      <c r="A21" s="27">
        <v>11</v>
      </c>
      <c r="B21" s="3">
        <f t="shared" si="1"/>
        <v>0.01</v>
      </c>
      <c r="C21" s="40">
        <f t="shared" si="0"/>
        <v>0</v>
      </c>
      <c r="D21" s="40">
        <f t="shared" si="2"/>
        <v>0</v>
      </c>
      <c r="E21" s="47">
        <f t="shared" si="3"/>
        <v>0</v>
      </c>
      <c r="F21" s="47">
        <f t="shared" si="4"/>
        <v>0</v>
      </c>
      <c r="G21" s="27">
        <f>IF(VLOOKUP(A21,Wechsel!$A$11:$E$31,1)=A21,VLOOKUP(A21,Wechsel!$A$11:$E$31,1),0)</f>
        <v>0</v>
      </c>
      <c r="H21" s="35">
        <f>IF(G21&gt;0,VLOOKUP(A21,Wechsel!$A$11:$E$31,3),H20)</f>
        <v>0</v>
      </c>
      <c r="I21" s="35">
        <f>IF(G21&gt;0,VLOOKUP(A21,Wechsel!$A$11:$E$31,4),I20)</f>
        <v>0</v>
      </c>
      <c r="J21" s="35">
        <f>IF(G21&gt;0,VLOOKUP(A21,Wechsel!$A$11:$E$31,5),J20)</f>
        <v>1</v>
      </c>
      <c r="K21" s="52">
        <f t="shared" si="10"/>
        <v>0</v>
      </c>
      <c r="L21" s="53">
        <f t="shared" si="11"/>
        <v>0</v>
      </c>
      <c r="M21" s="54">
        <f t="shared" si="5"/>
        <v>-50.210983874999997</v>
      </c>
      <c r="N21" s="59">
        <f t="shared" si="6"/>
        <v>1</v>
      </c>
      <c r="O21" s="53">
        <f t="shared" si="12"/>
        <v>0</v>
      </c>
      <c r="P21" s="52">
        <f>MAX(P20-Eingabe!$E$28,0)</f>
        <v>0</v>
      </c>
      <c r="Q21" s="60">
        <f t="shared" si="7"/>
        <v>0</v>
      </c>
      <c r="R21" s="60">
        <f t="shared" si="13"/>
        <v>0</v>
      </c>
      <c r="S21" s="60">
        <f>Eingabe!$C$25+Eingabe!$E$25*'Berechnung Ratierlich 2%'!F21</f>
        <v>39</v>
      </c>
      <c r="T21" s="4">
        <f t="shared" si="9"/>
        <v>-39</v>
      </c>
    </row>
    <row r="22" spans="1:20">
      <c r="A22" s="27">
        <v>12</v>
      </c>
      <c r="B22" s="3">
        <f t="shared" si="1"/>
        <v>0.01</v>
      </c>
      <c r="C22" s="40">
        <f t="shared" si="0"/>
        <v>0</v>
      </c>
      <c r="D22" s="40">
        <f t="shared" si="2"/>
        <v>0</v>
      </c>
      <c r="E22" s="47">
        <f t="shared" si="3"/>
        <v>0</v>
      </c>
      <c r="F22" s="47">
        <f t="shared" si="4"/>
        <v>0</v>
      </c>
      <c r="G22" s="27">
        <f>IF(VLOOKUP(A22,Wechsel!$A$11:$E$31,1)=A22,VLOOKUP(A22,Wechsel!$A$11:$E$31,1),0)</f>
        <v>0</v>
      </c>
      <c r="H22" s="35">
        <f>IF(G22&gt;0,VLOOKUP(A22,Wechsel!$A$11:$E$31,3),H21)</f>
        <v>0</v>
      </c>
      <c r="I22" s="35">
        <f>IF(G22&gt;0,VLOOKUP(A22,Wechsel!$A$11:$E$31,4),I21)</f>
        <v>0</v>
      </c>
      <c r="J22" s="35">
        <f>IF(G22&gt;0,VLOOKUP(A22,Wechsel!$A$11:$E$31,5),J21)</f>
        <v>1</v>
      </c>
      <c r="K22" s="52">
        <f t="shared" si="10"/>
        <v>0</v>
      </c>
      <c r="L22" s="53">
        <f t="shared" si="11"/>
        <v>0</v>
      </c>
      <c r="M22" s="54">
        <f t="shared" si="5"/>
        <v>-50.210983874999997</v>
      </c>
      <c r="N22" s="59">
        <f t="shared" si="6"/>
        <v>1</v>
      </c>
      <c r="O22" s="53">
        <f t="shared" si="12"/>
        <v>0</v>
      </c>
      <c r="P22" s="52">
        <f>MAX(P21-Eingabe!$E$28,0)</f>
        <v>0</v>
      </c>
      <c r="Q22" s="60">
        <f t="shared" si="7"/>
        <v>0</v>
      </c>
      <c r="R22" s="60">
        <f t="shared" si="13"/>
        <v>0</v>
      </c>
      <c r="S22" s="60">
        <f>Eingabe!$C$25+Eingabe!$E$25*'Berechnung Ratierlich 2%'!F22</f>
        <v>39</v>
      </c>
      <c r="T22" s="4">
        <f t="shared" si="9"/>
        <v>-39</v>
      </c>
    </row>
    <row r="23" spans="1:20">
      <c r="A23" s="27">
        <v>13</v>
      </c>
      <c r="B23" s="3">
        <f t="shared" si="1"/>
        <v>0.01</v>
      </c>
      <c r="C23" s="40">
        <f t="shared" si="0"/>
        <v>0</v>
      </c>
      <c r="D23" s="40">
        <f t="shared" si="2"/>
        <v>0</v>
      </c>
      <c r="E23" s="47">
        <f t="shared" si="3"/>
        <v>0</v>
      </c>
      <c r="F23" s="47">
        <f t="shared" si="4"/>
        <v>0</v>
      </c>
      <c r="G23" s="27">
        <f>IF(VLOOKUP(A23,Wechsel!$A$11:$E$31,1)=A23,VLOOKUP(A23,Wechsel!$A$11:$E$31,1),0)</f>
        <v>0</v>
      </c>
      <c r="H23" s="35">
        <f>IF(G23&gt;0,VLOOKUP(A23,Wechsel!$A$11:$E$31,3),H22)</f>
        <v>0</v>
      </c>
      <c r="I23" s="35">
        <f>IF(G23&gt;0,VLOOKUP(A23,Wechsel!$A$11:$E$31,4),I22)</f>
        <v>0</v>
      </c>
      <c r="J23" s="35">
        <f>IF(G23&gt;0,VLOOKUP(A23,Wechsel!$A$11:$E$31,5),J22)</f>
        <v>1</v>
      </c>
      <c r="K23" s="52">
        <f t="shared" si="10"/>
        <v>0</v>
      </c>
      <c r="L23" s="53">
        <f t="shared" si="11"/>
        <v>0</v>
      </c>
      <c r="M23" s="54">
        <f t="shared" si="5"/>
        <v>0</v>
      </c>
      <c r="N23" s="59">
        <f t="shared" si="6"/>
        <v>1</v>
      </c>
      <c r="O23" s="53">
        <f t="shared" si="12"/>
        <v>0</v>
      </c>
      <c r="P23" s="52">
        <f>MAX(P22-Eingabe!$E$28,0)</f>
        <v>0</v>
      </c>
      <c r="Q23" s="60">
        <f t="shared" si="7"/>
        <v>0</v>
      </c>
      <c r="R23" s="60">
        <f t="shared" si="13"/>
        <v>0</v>
      </c>
      <c r="S23" s="60">
        <f>Eingabe!$C$25+Eingabe!$E$25*'Berechnung Ratierlich 2%'!F23</f>
        <v>39</v>
      </c>
      <c r="T23" s="4">
        <f t="shared" si="9"/>
        <v>-39</v>
      </c>
    </row>
    <row r="24" spans="1:20">
      <c r="A24" s="27">
        <v>14</v>
      </c>
      <c r="B24" s="3">
        <f t="shared" si="1"/>
        <v>0.01</v>
      </c>
      <c r="C24" s="40">
        <f t="shared" si="0"/>
        <v>0</v>
      </c>
      <c r="D24" s="40">
        <f t="shared" si="2"/>
        <v>0</v>
      </c>
      <c r="E24" s="47">
        <f t="shared" si="3"/>
        <v>0</v>
      </c>
      <c r="F24" s="47">
        <f t="shared" si="4"/>
        <v>0</v>
      </c>
      <c r="G24" s="27">
        <f>IF(VLOOKUP(A24,Wechsel!$A$11:$E$31,1)=A24,VLOOKUP(A24,Wechsel!$A$11:$E$31,1),0)</f>
        <v>0</v>
      </c>
      <c r="H24" s="35">
        <f>IF(G24&gt;0,VLOOKUP(A24,Wechsel!$A$11:$E$31,3),H23)</f>
        <v>0</v>
      </c>
      <c r="I24" s="35">
        <f>IF(G24&gt;0,VLOOKUP(A24,Wechsel!$A$11:$E$31,4),I23)</f>
        <v>0</v>
      </c>
      <c r="J24" s="35">
        <f>IF(G24&gt;0,VLOOKUP(A24,Wechsel!$A$11:$E$31,5),J23)</f>
        <v>1</v>
      </c>
      <c r="K24" s="52">
        <f t="shared" si="10"/>
        <v>0</v>
      </c>
      <c r="L24" s="53">
        <f t="shared" si="11"/>
        <v>0</v>
      </c>
      <c r="M24" s="54">
        <f t="shared" si="5"/>
        <v>0</v>
      </c>
      <c r="N24" s="59">
        <f t="shared" si="6"/>
        <v>1</v>
      </c>
      <c r="O24" s="53">
        <f t="shared" si="12"/>
        <v>0</v>
      </c>
      <c r="P24" s="52">
        <f>MAX(P23-Eingabe!$E$28,0)</f>
        <v>0</v>
      </c>
      <c r="Q24" s="60">
        <f t="shared" si="7"/>
        <v>0</v>
      </c>
      <c r="R24" s="60">
        <f t="shared" si="13"/>
        <v>0</v>
      </c>
      <c r="S24" s="60">
        <f>Eingabe!$C$25+Eingabe!$E$25*'Berechnung Ratierlich 2%'!F24</f>
        <v>39</v>
      </c>
      <c r="T24" s="4">
        <f t="shared" si="9"/>
        <v>-39</v>
      </c>
    </row>
    <row r="25" spans="1:20">
      <c r="A25" s="27">
        <v>15</v>
      </c>
      <c r="B25" s="3">
        <f t="shared" si="1"/>
        <v>0.01</v>
      </c>
      <c r="C25" s="40">
        <f t="shared" si="0"/>
        <v>0</v>
      </c>
      <c r="D25" s="40">
        <f t="shared" si="2"/>
        <v>0</v>
      </c>
      <c r="E25" s="47">
        <f t="shared" si="3"/>
        <v>0</v>
      </c>
      <c r="F25" s="47">
        <f t="shared" si="4"/>
        <v>0</v>
      </c>
      <c r="G25" s="27">
        <f>IF(VLOOKUP(A25,Wechsel!$A$11:$E$31,1)=A25,VLOOKUP(A25,Wechsel!$A$11:$E$31,1),0)</f>
        <v>0</v>
      </c>
      <c r="H25" s="35">
        <f>IF(G25&gt;0,VLOOKUP(A25,Wechsel!$A$11:$E$31,3),H24)</f>
        <v>0</v>
      </c>
      <c r="I25" s="35">
        <f>IF(G25&gt;0,VLOOKUP(A25,Wechsel!$A$11:$E$31,4),I24)</f>
        <v>0</v>
      </c>
      <c r="J25" s="35">
        <f>IF(G25&gt;0,VLOOKUP(A25,Wechsel!$A$11:$E$31,5),J24)</f>
        <v>1</v>
      </c>
      <c r="K25" s="52">
        <f t="shared" si="10"/>
        <v>0</v>
      </c>
      <c r="L25" s="53">
        <f t="shared" si="11"/>
        <v>0</v>
      </c>
      <c r="M25" s="54">
        <f t="shared" si="5"/>
        <v>0</v>
      </c>
      <c r="N25" s="59">
        <f t="shared" si="6"/>
        <v>1</v>
      </c>
      <c r="O25" s="53">
        <f t="shared" si="12"/>
        <v>0</v>
      </c>
      <c r="P25" s="52">
        <f>MAX(P24-Eingabe!$E$28,0)</f>
        <v>0</v>
      </c>
      <c r="Q25" s="60">
        <f t="shared" si="7"/>
        <v>0</v>
      </c>
      <c r="R25" s="60">
        <f t="shared" si="13"/>
        <v>0</v>
      </c>
      <c r="S25" s="60">
        <f>Eingabe!$C$25+Eingabe!$E$25*'Berechnung Ratierlich 2%'!F25</f>
        <v>39</v>
      </c>
      <c r="T25" s="4">
        <f t="shared" si="9"/>
        <v>-39</v>
      </c>
    </row>
    <row r="26" spans="1:20">
      <c r="A26" s="27">
        <v>16</v>
      </c>
      <c r="B26" s="3">
        <f t="shared" si="1"/>
        <v>0.01</v>
      </c>
      <c r="C26" s="40">
        <f t="shared" si="0"/>
        <v>0</v>
      </c>
      <c r="D26" s="40">
        <f t="shared" si="2"/>
        <v>0</v>
      </c>
      <c r="E26" s="47">
        <f t="shared" si="3"/>
        <v>0</v>
      </c>
      <c r="F26" s="47">
        <f t="shared" si="4"/>
        <v>0</v>
      </c>
      <c r="G26" s="27">
        <f>IF(VLOOKUP(A26,Wechsel!$A$11:$E$31,1)=A26,VLOOKUP(A26,Wechsel!$A$11:$E$31,1),0)</f>
        <v>0</v>
      </c>
      <c r="H26" s="35">
        <f>IF(G26&gt;0,VLOOKUP(A26,Wechsel!$A$11:$E$31,3),H25)</f>
        <v>0</v>
      </c>
      <c r="I26" s="35">
        <f>IF(G26&gt;0,VLOOKUP(A26,Wechsel!$A$11:$E$31,4),I25)</f>
        <v>0</v>
      </c>
      <c r="J26" s="35">
        <f>IF(G26&gt;0,VLOOKUP(A26,Wechsel!$A$11:$E$31,5),J25)</f>
        <v>1</v>
      </c>
      <c r="K26" s="52">
        <f t="shared" si="10"/>
        <v>0</v>
      </c>
      <c r="L26" s="53">
        <f t="shared" si="11"/>
        <v>0</v>
      </c>
      <c r="M26" s="54">
        <f t="shared" si="5"/>
        <v>0</v>
      </c>
      <c r="N26" s="59">
        <f t="shared" si="6"/>
        <v>1</v>
      </c>
      <c r="O26" s="53">
        <f t="shared" si="12"/>
        <v>0</v>
      </c>
      <c r="P26" s="52">
        <f>MAX(P25-Eingabe!$E$28,0)</f>
        <v>0</v>
      </c>
      <c r="Q26" s="60">
        <f t="shared" si="7"/>
        <v>0</v>
      </c>
      <c r="R26" s="60">
        <f t="shared" si="13"/>
        <v>0</v>
      </c>
      <c r="S26" s="60">
        <f>Eingabe!$C$25+Eingabe!$E$25*'Berechnung Ratierlich 2%'!F26</f>
        <v>39</v>
      </c>
      <c r="T26" s="4">
        <f t="shared" si="9"/>
        <v>-39</v>
      </c>
    </row>
    <row r="27" spans="1:20">
      <c r="A27" s="27">
        <v>17</v>
      </c>
      <c r="B27" s="3">
        <f t="shared" si="1"/>
        <v>0.01</v>
      </c>
      <c r="C27" s="40">
        <f t="shared" si="0"/>
        <v>0</v>
      </c>
      <c r="D27" s="40">
        <f t="shared" si="2"/>
        <v>0</v>
      </c>
      <c r="E27" s="47">
        <f t="shared" si="3"/>
        <v>0</v>
      </c>
      <c r="F27" s="47">
        <f t="shared" si="4"/>
        <v>0</v>
      </c>
      <c r="G27" s="27">
        <f>IF(VLOOKUP(A27,Wechsel!$A$11:$E$31,1)=A27,VLOOKUP(A27,Wechsel!$A$11:$E$31,1),0)</f>
        <v>0</v>
      </c>
      <c r="H27" s="35">
        <f>IF(G27&gt;0,VLOOKUP(A27,Wechsel!$A$11:$E$31,3),H26)</f>
        <v>0</v>
      </c>
      <c r="I27" s="35">
        <f>IF(G27&gt;0,VLOOKUP(A27,Wechsel!$A$11:$E$31,4),I26)</f>
        <v>0</v>
      </c>
      <c r="J27" s="35">
        <f>IF(G27&gt;0,VLOOKUP(A27,Wechsel!$A$11:$E$31,5),J26)</f>
        <v>1</v>
      </c>
      <c r="K27" s="52">
        <f t="shared" si="10"/>
        <v>0</v>
      </c>
      <c r="L27" s="53">
        <f t="shared" si="11"/>
        <v>0</v>
      </c>
      <c r="M27" s="54">
        <f t="shared" si="5"/>
        <v>0</v>
      </c>
      <c r="N27" s="59">
        <f t="shared" si="6"/>
        <v>1</v>
      </c>
      <c r="O27" s="53">
        <f t="shared" si="12"/>
        <v>0</v>
      </c>
      <c r="P27" s="52">
        <f>MAX(P26-Eingabe!$E$28,0)</f>
        <v>0</v>
      </c>
      <c r="Q27" s="60">
        <f t="shared" si="7"/>
        <v>0</v>
      </c>
      <c r="R27" s="60">
        <f t="shared" si="13"/>
        <v>0</v>
      </c>
      <c r="S27" s="60">
        <f>Eingabe!$C$25+Eingabe!$E$25*'Berechnung Ratierlich 2%'!F27</f>
        <v>39</v>
      </c>
      <c r="T27" s="4">
        <f t="shared" si="9"/>
        <v>-39</v>
      </c>
    </row>
    <row r="28" spans="1:20">
      <c r="A28" s="27">
        <v>18</v>
      </c>
      <c r="B28" s="3">
        <f t="shared" si="1"/>
        <v>0.01</v>
      </c>
      <c r="C28" s="40">
        <f t="shared" si="0"/>
        <v>0</v>
      </c>
      <c r="D28" s="40">
        <f t="shared" si="2"/>
        <v>0</v>
      </c>
      <c r="E28" s="47">
        <f t="shared" si="3"/>
        <v>0</v>
      </c>
      <c r="F28" s="47">
        <f t="shared" si="4"/>
        <v>0</v>
      </c>
      <c r="G28" s="27">
        <f>IF(VLOOKUP(A28,Wechsel!$A$11:$E$31,1)=A28,VLOOKUP(A28,Wechsel!$A$11:$E$31,1),0)</f>
        <v>0</v>
      </c>
      <c r="H28" s="35">
        <f>IF(G28&gt;0,VLOOKUP(A28,Wechsel!$A$11:$E$31,3),H27)</f>
        <v>0</v>
      </c>
      <c r="I28" s="35">
        <f>IF(G28&gt;0,VLOOKUP(A28,Wechsel!$A$11:$E$31,4),I27)</f>
        <v>0</v>
      </c>
      <c r="J28" s="35">
        <f>IF(G28&gt;0,VLOOKUP(A28,Wechsel!$A$11:$E$31,5),J27)</f>
        <v>1</v>
      </c>
      <c r="K28" s="52">
        <f t="shared" si="10"/>
        <v>0</v>
      </c>
      <c r="L28" s="53">
        <f t="shared" si="11"/>
        <v>0</v>
      </c>
      <c r="M28" s="54">
        <f t="shared" si="5"/>
        <v>0</v>
      </c>
      <c r="N28" s="59">
        <f t="shared" si="6"/>
        <v>1</v>
      </c>
      <c r="O28" s="53">
        <f t="shared" si="12"/>
        <v>0</v>
      </c>
      <c r="P28" s="52">
        <f>MAX(P27-Eingabe!$E$28,0)</f>
        <v>0</v>
      </c>
      <c r="Q28" s="60">
        <f t="shared" si="7"/>
        <v>0</v>
      </c>
      <c r="R28" s="60">
        <f t="shared" si="13"/>
        <v>0</v>
      </c>
      <c r="S28" s="60">
        <f>Eingabe!$C$25+Eingabe!$E$25*'Berechnung Ratierlich 2%'!F28</f>
        <v>39</v>
      </c>
      <c r="T28" s="4">
        <f t="shared" si="9"/>
        <v>-39</v>
      </c>
    </row>
    <row r="29" spans="1:20">
      <c r="A29" s="27">
        <v>19</v>
      </c>
      <c r="B29" s="3">
        <f t="shared" si="1"/>
        <v>0.01</v>
      </c>
      <c r="C29" s="40">
        <f t="shared" si="0"/>
        <v>0</v>
      </c>
      <c r="D29" s="40">
        <f t="shared" si="2"/>
        <v>0</v>
      </c>
      <c r="E29" s="47">
        <f t="shared" si="3"/>
        <v>0</v>
      </c>
      <c r="F29" s="47">
        <f t="shared" si="4"/>
        <v>0</v>
      </c>
      <c r="G29" s="27">
        <f>IF(VLOOKUP(A29,Wechsel!$A$11:$E$31,1)=A29,VLOOKUP(A29,Wechsel!$A$11:$E$31,1),0)</f>
        <v>0</v>
      </c>
      <c r="H29" s="35">
        <f>IF(G29&gt;0,VLOOKUP(A29,Wechsel!$A$11:$E$31,3),H28)</f>
        <v>0</v>
      </c>
      <c r="I29" s="35">
        <f>IF(G29&gt;0,VLOOKUP(A29,Wechsel!$A$11:$E$31,4),I28)</f>
        <v>0</v>
      </c>
      <c r="J29" s="35">
        <f>IF(G29&gt;0,VLOOKUP(A29,Wechsel!$A$11:$E$31,5),J28)</f>
        <v>1</v>
      </c>
      <c r="K29" s="52">
        <f t="shared" si="10"/>
        <v>0</v>
      </c>
      <c r="L29" s="53">
        <f t="shared" si="11"/>
        <v>0</v>
      </c>
      <c r="M29" s="54">
        <f t="shared" si="5"/>
        <v>0</v>
      </c>
      <c r="N29" s="59">
        <f t="shared" si="6"/>
        <v>1</v>
      </c>
      <c r="O29" s="53">
        <f t="shared" si="12"/>
        <v>0</v>
      </c>
      <c r="P29" s="52">
        <f>MAX(P28-Eingabe!$E$28,0)</f>
        <v>0</v>
      </c>
      <c r="Q29" s="60">
        <f t="shared" si="7"/>
        <v>0</v>
      </c>
      <c r="R29" s="60">
        <f t="shared" si="13"/>
        <v>0</v>
      </c>
      <c r="S29" s="60">
        <f>Eingabe!$C$25+Eingabe!$E$25*'Berechnung Ratierlich 2%'!F29</f>
        <v>39</v>
      </c>
      <c r="T29" s="4">
        <f t="shared" si="9"/>
        <v>-39</v>
      </c>
    </row>
    <row r="30" spans="1:20">
      <c r="A30" s="27">
        <v>20</v>
      </c>
      <c r="B30" s="3">
        <f t="shared" si="1"/>
        <v>0.01</v>
      </c>
      <c r="C30" s="40">
        <f t="shared" si="0"/>
        <v>0</v>
      </c>
      <c r="D30" s="40">
        <f t="shared" si="2"/>
        <v>0</v>
      </c>
      <c r="E30" s="47">
        <f t="shared" si="3"/>
        <v>0</v>
      </c>
      <c r="F30" s="47">
        <f t="shared" si="4"/>
        <v>0</v>
      </c>
      <c r="G30" s="27">
        <f>IF(VLOOKUP(A30,Wechsel!$A$11:$E$31,1)=A30,VLOOKUP(A30,Wechsel!$A$11:$E$31,1),0)</f>
        <v>0</v>
      </c>
      <c r="H30" s="35">
        <f>IF(G30&gt;0,VLOOKUP(A30,Wechsel!$A$11:$E$31,3),H29)</f>
        <v>0</v>
      </c>
      <c r="I30" s="35">
        <f>IF(G30&gt;0,VLOOKUP(A30,Wechsel!$A$11:$E$31,4),I29)</f>
        <v>0</v>
      </c>
      <c r="J30" s="35">
        <f>IF(G30&gt;0,VLOOKUP(A30,Wechsel!$A$11:$E$31,5),J29)</f>
        <v>1</v>
      </c>
      <c r="K30" s="52">
        <f t="shared" si="10"/>
        <v>0</v>
      </c>
      <c r="L30" s="53">
        <f t="shared" si="11"/>
        <v>0</v>
      </c>
      <c r="M30" s="54">
        <f t="shared" si="5"/>
        <v>0</v>
      </c>
      <c r="N30" s="59">
        <f t="shared" si="6"/>
        <v>1</v>
      </c>
      <c r="O30" s="53">
        <f t="shared" si="12"/>
        <v>0</v>
      </c>
      <c r="P30" s="52">
        <f>MAX(P29-Eingabe!$E$28,0)</f>
        <v>0</v>
      </c>
      <c r="Q30" s="60">
        <f t="shared" si="7"/>
        <v>0</v>
      </c>
      <c r="R30" s="60">
        <f t="shared" si="13"/>
        <v>0</v>
      </c>
      <c r="S30" s="60">
        <f>Eingabe!$C$25+Eingabe!$E$25*'Berechnung Ratierlich 2%'!F30</f>
        <v>39</v>
      </c>
      <c r="T30" s="4">
        <f t="shared" si="9"/>
        <v>-39</v>
      </c>
    </row>
    <row r="31" spans="1:20">
      <c r="A31" s="27">
        <v>21</v>
      </c>
      <c r="B31" s="3">
        <f t="shared" si="1"/>
        <v>0.01</v>
      </c>
      <c r="C31" s="40">
        <f t="shared" si="0"/>
        <v>0</v>
      </c>
      <c r="D31" s="40">
        <f t="shared" si="2"/>
        <v>0</v>
      </c>
      <c r="E31" s="47">
        <f t="shared" si="3"/>
        <v>0</v>
      </c>
      <c r="F31" s="47">
        <f t="shared" si="4"/>
        <v>0</v>
      </c>
      <c r="G31" s="27">
        <f>IF(VLOOKUP(A31,Wechsel!$A$11:$E$31,1)=A31,VLOOKUP(A31,Wechsel!$A$11:$E$31,1),0)</f>
        <v>0</v>
      </c>
      <c r="H31" s="35">
        <f>IF(G31&gt;0,VLOOKUP(A31,Wechsel!$A$11:$E$31,3),H30)</f>
        <v>0</v>
      </c>
      <c r="I31" s="35">
        <f>IF(G31&gt;0,VLOOKUP(A31,Wechsel!$A$11:$E$31,4),I30)</f>
        <v>0</v>
      </c>
      <c r="J31" s="35">
        <f>IF(G31&gt;0,VLOOKUP(A31,Wechsel!$A$11:$E$31,5),J30)</f>
        <v>1</v>
      </c>
      <c r="K31" s="52">
        <f t="shared" si="10"/>
        <v>0</v>
      </c>
      <c r="L31" s="53">
        <f t="shared" si="11"/>
        <v>0</v>
      </c>
      <c r="M31" s="54">
        <f t="shared" si="5"/>
        <v>0</v>
      </c>
      <c r="N31" s="59">
        <f t="shared" si="6"/>
        <v>1</v>
      </c>
      <c r="O31" s="53">
        <f t="shared" si="12"/>
        <v>0</v>
      </c>
      <c r="P31" s="52">
        <f>MAX(P30-Eingabe!$E$28,0)</f>
        <v>0</v>
      </c>
      <c r="Q31" s="60">
        <f t="shared" si="7"/>
        <v>0</v>
      </c>
      <c r="R31" s="60">
        <f t="shared" si="13"/>
        <v>0</v>
      </c>
      <c r="S31" s="60">
        <f>Eingabe!$C$25+Eingabe!$E$25*'Berechnung Ratierlich 2%'!F31</f>
        <v>39</v>
      </c>
      <c r="T31" s="4">
        <f t="shared" si="9"/>
        <v>-39</v>
      </c>
    </row>
    <row r="32" spans="1:20">
      <c r="A32" s="27">
        <v>22</v>
      </c>
      <c r="B32" s="3">
        <f t="shared" si="1"/>
        <v>0.01</v>
      </c>
      <c r="C32" s="40">
        <f t="shared" si="0"/>
        <v>0</v>
      </c>
      <c r="D32" s="40">
        <f t="shared" si="2"/>
        <v>0</v>
      </c>
      <c r="E32" s="47">
        <f t="shared" si="3"/>
        <v>0</v>
      </c>
      <c r="F32" s="47">
        <f t="shared" si="4"/>
        <v>0</v>
      </c>
      <c r="G32" s="27">
        <f>IF(VLOOKUP(A32,Wechsel!$A$11:$E$31,1)=A32,VLOOKUP(A32,Wechsel!$A$11:$E$31,1),0)</f>
        <v>0</v>
      </c>
      <c r="H32" s="35">
        <f>IF(G32&gt;0,VLOOKUP(A32,Wechsel!$A$11:$E$31,3),H31)</f>
        <v>0</v>
      </c>
      <c r="I32" s="35">
        <f>IF(G32&gt;0,VLOOKUP(A32,Wechsel!$A$11:$E$31,4),I31)</f>
        <v>0</v>
      </c>
      <c r="J32" s="35">
        <f>IF(G32&gt;0,VLOOKUP(A32,Wechsel!$A$11:$E$31,5),J31)</f>
        <v>1</v>
      </c>
      <c r="K32" s="52">
        <f t="shared" si="10"/>
        <v>0</v>
      </c>
      <c r="L32" s="53">
        <f t="shared" si="11"/>
        <v>0</v>
      </c>
      <c r="M32" s="54">
        <f t="shared" si="5"/>
        <v>0</v>
      </c>
      <c r="N32" s="59">
        <f t="shared" si="6"/>
        <v>1</v>
      </c>
      <c r="O32" s="53">
        <f t="shared" si="12"/>
        <v>0</v>
      </c>
      <c r="P32" s="52">
        <f>MAX(P31-Eingabe!$E$28,0)</f>
        <v>0</v>
      </c>
      <c r="Q32" s="60">
        <f t="shared" si="7"/>
        <v>0</v>
      </c>
      <c r="R32" s="60">
        <f t="shared" si="13"/>
        <v>0</v>
      </c>
      <c r="S32" s="60">
        <f>Eingabe!$C$25+Eingabe!$E$25*'Berechnung Ratierlich 2%'!F32</f>
        <v>39</v>
      </c>
      <c r="T32" s="4">
        <f t="shared" si="9"/>
        <v>-39</v>
      </c>
    </row>
    <row r="33" spans="1:20">
      <c r="A33" s="27">
        <v>23</v>
      </c>
      <c r="B33" s="3">
        <f t="shared" si="1"/>
        <v>0.01</v>
      </c>
      <c r="C33" s="40">
        <f t="shared" si="0"/>
        <v>0</v>
      </c>
      <c r="D33" s="40">
        <f t="shared" si="2"/>
        <v>0</v>
      </c>
      <c r="E33" s="47">
        <f t="shared" si="3"/>
        <v>0</v>
      </c>
      <c r="F33" s="47">
        <f t="shared" si="4"/>
        <v>0</v>
      </c>
      <c r="G33" s="27">
        <f>IF(VLOOKUP(A33,Wechsel!$A$11:$E$31,1)=A33,VLOOKUP(A33,Wechsel!$A$11:$E$31,1),0)</f>
        <v>0</v>
      </c>
      <c r="H33" s="35">
        <f>IF(G33&gt;0,VLOOKUP(A33,Wechsel!$A$11:$E$31,3),H32)</f>
        <v>0</v>
      </c>
      <c r="I33" s="35">
        <f>IF(G33&gt;0,VLOOKUP(A33,Wechsel!$A$11:$E$31,4),I32)</f>
        <v>0</v>
      </c>
      <c r="J33" s="35">
        <f>IF(G33&gt;0,VLOOKUP(A33,Wechsel!$A$11:$E$31,5),J32)</f>
        <v>1</v>
      </c>
      <c r="K33" s="52">
        <f t="shared" si="10"/>
        <v>0</v>
      </c>
      <c r="L33" s="53">
        <f t="shared" si="11"/>
        <v>0</v>
      </c>
      <c r="M33" s="54">
        <f t="shared" si="5"/>
        <v>0</v>
      </c>
      <c r="N33" s="59">
        <f t="shared" si="6"/>
        <v>1</v>
      </c>
      <c r="O33" s="53">
        <f t="shared" si="12"/>
        <v>0</v>
      </c>
      <c r="P33" s="52">
        <f>MAX(P32-Eingabe!$E$28,0)</f>
        <v>0</v>
      </c>
      <c r="Q33" s="60">
        <f t="shared" si="7"/>
        <v>0</v>
      </c>
      <c r="R33" s="60">
        <f t="shared" si="13"/>
        <v>0</v>
      </c>
      <c r="S33" s="60">
        <f>Eingabe!$C$25+Eingabe!$E$25*'Berechnung Ratierlich 2%'!F33</f>
        <v>39</v>
      </c>
      <c r="T33" s="4">
        <f t="shared" si="9"/>
        <v>-39</v>
      </c>
    </row>
    <row r="34" spans="1:20">
      <c r="A34" s="27">
        <v>24</v>
      </c>
      <c r="B34" s="3">
        <f t="shared" si="1"/>
        <v>0.01</v>
      </c>
      <c r="C34" s="40">
        <f t="shared" si="0"/>
        <v>0</v>
      </c>
      <c r="D34" s="40">
        <f t="shared" si="2"/>
        <v>0</v>
      </c>
      <c r="E34" s="47">
        <f t="shared" si="3"/>
        <v>0</v>
      </c>
      <c r="F34" s="47">
        <f t="shared" si="4"/>
        <v>0</v>
      </c>
      <c r="G34" s="27">
        <f>IF(VLOOKUP(A34,Wechsel!$A$11:$E$31,1)=A34,VLOOKUP(A34,Wechsel!$A$11:$E$31,1),0)</f>
        <v>0</v>
      </c>
      <c r="H34" s="35">
        <f>IF(G34&gt;0,VLOOKUP(A34,Wechsel!$A$11:$E$31,3),H33)</f>
        <v>0</v>
      </c>
      <c r="I34" s="35">
        <f>IF(G34&gt;0,VLOOKUP(A34,Wechsel!$A$11:$E$31,4),I33)</f>
        <v>0</v>
      </c>
      <c r="J34" s="35">
        <f>IF(G34&gt;0,VLOOKUP(A34,Wechsel!$A$11:$E$31,5),J33)</f>
        <v>1</v>
      </c>
      <c r="K34" s="52">
        <f t="shared" si="10"/>
        <v>0</v>
      </c>
      <c r="L34" s="53">
        <f t="shared" si="11"/>
        <v>0</v>
      </c>
      <c r="M34" s="54">
        <f t="shared" si="5"/>
        <v>0</v>
      </c>
      <c r="N34" s="59">
        <f t="shared" si="6"/>
        <v>1</v>
      </c>
      <c r="O34" s="53">
        <f t="shared" si="12"/>
        <v>0</v>
      </c>
      <c r="P34" s="52">
        <f>MAX(P33-Eingabe!$E$28,0)</f>
        <v>0</v>
      </c>
      <c r="Q34" s="60">
        <f t="shared" si="7"/>
        <v>0</v>
      </c>
      <c r="R34" s="60">
        <f t="shared" si="13"/>
        <v>0</v>
      </c>
      <c r="S34" s="60">
        <f>Eingabe!$C$25+Eingabe!$E$25*'Berechnung Ratierlich 2%'!F34</f>
        <v>39</v>
      </c>
      <c r="T34" s="4">
        <f t="shared" si="9"/>
        <v>-39</v>
      </c>
    </row>
    <row r="35" spans="1:20">
      <c r="A35" s="27">
        <v>25</v>
      </c>
      <c r="B35" s="3">
        <f t="shared" si="1"/>
        <v>0.01</v>
      </c>
      <c r="C35" s="40">
        <f t="shared" si="0"/>
        <v>0</v>
      </c>
      <c r="D35" s="40">
        <f t="shared" si="2"/>
        <v>0</v>
      </c>
      <c r="E35" s="47">
        <f t="shared" si="3"/>
        <v>0</v>
      </c>
      <c r="F35" s="47">
        <f t="shared" si="4"/>
        <v>0</v>
      </c>
      <c r="G35" s="27">
        <f>IF(VLOOKUP(A35,Wechsel!$A$11:$E$31,1)=A35,VLOOKUP(A35,Wechsel!$A$11:$E$31,1),0)</f>
        <v>0</v>
      </c>
      <c r="H35" s="35">
        <f>IF(G35&gt;0,VLOOKUP(A35,Wechsel!$A$11:$E$31,3),H34)</f>
        <v>0</v>
      </c>
      <c r="I35" s="35">
        <f>IF(G35&gt;0,VLOOKUP(A35,Wechsel!$A$11:$E$31,4),I34)</f>
        <v>0</v>
      </c>
      <c r="J35" s="35">
        <f>IF(G35&gt;0,VLOOKUP(A35,Wechsel!$A$11:$E$31,5),J34)</f>
        <v>1</v>
      </c>
      <c r="K35" s="52">
        <f t="shared" si="10"/>
        <v>0</v>
      </c>
      <c r="L35" s="53">
        <f t="shared" si="11"/>
        <v>0</v>
      </c>
      <c r="M35" s="54">
        <f t="shared" si="5"/>
        <v>0</v>
      </c>
      <c r="N35" s="59">
        <f t="shared" si="6"/>
        <v>1</v>
      </c>
      <c r="O35" s="53">
        <f t="shared" si="12"/>
        <v>0</v>
      </c>
      <c r="P35" s="52">
        <f>MAX(P34-Eingabe!$E$28,0)</f>
        <v>0</v>
      </c>
      <c r="Q35" s="60">
        <f t="shared" si="7"/>
        <v>0</v>
      </c>
      <c r="R35" s="60">
        <f t="shared" si="13"/>
        <v>0</v>
      </c>
      <c r="S35" s="60">
        <f>Eingabe!$C$25+Eingabe!$E$25*'Berechnung Ratierlich 2%'!F35</f>
        <v>39</v>
      </c>
      <c r="T35" s="4">
        <f t="shared" si="9"/>
        <v>-39</v>
      </c>
    </row>
    <row r="36" spans="1:20">
      <c r="A36" s="27">
        <v>26</v>
      </c>
      <c r="B36" s="3">
        <f t="shared" si="1"/>
        <v>0.01</v>
      </c>
      <c r="C36" s="40">
        <f t="shared" si="0"/>
        <v>0</v>
      </c>
      <c r="D36" s="40">
        <f t="shared" si="2"/>
        <v>0</v>
      </c>
      <c r="E36" s="47">
        <f t="shared" si="3"/>
        <v>0</v>
      </c>
      <c r="F36" s="47">
        <f t="shared" si="4"/>
        <v>0</v>
      </c>
      <c r="G36" s="27">
        <f>IF(VLOOKUP(A36,Wechsel!$A$11:$E$31,1)=A36,VLOOKUP(A36,Wechsel!$A$11:$E$31,1),0)</f>
        <v>0</v>
      </c>
      <c r="H36" s="35">
        <f>IF(G36&gt;0,VLOOKUP(A36,Wechsel!$A$11:$E$31,3),H35)</f>
        <v>0</v>
      </c>
      <c r="I36" s="35">
        <f>IF(G36&gt;0,VLOOKUP(A36,Wechsel!$A$11:$E$31,4),I35)</f>
        <v>0</v>
      </c>
      <c r="J36" s="35">
        <f>IF(G36&gt;0,VLOOKUP(A36,Wechsel!$A$11:$E$31,5),J35)</f>
        <v>1</v>
      </c>
      <c r="K36" s="52">
        <f t="shared" si="10"/>
        <v>0</v>
      </c>
      <c r="L36" s="53">
        <f t="shared" si="11"/>
        <v>0</v>
      </c>
      <c r="M36" s="54">
        <f t="shared" si="5"/>
        <v>0</v>
      </c>
      <c r="N36" s="59">
        <f t="shared" si="6"/>
        <v>1</v>
      </c>
      <c r="O36" s="53">
        <f t="shared" si="12"/>
        <v>0</v>
      </c>
      <c r="P36" s="52">
        <f>MAX(P35-Eingabe!$E$28,0)</f>
        <v>0</v>
      </c>
      <c r="Q36" s="60">
        <f t="shared" si="7"/>
        <v>0</v>
      </c>
      <c r="R36" s="60">
        <f t="shared" si="13"/>
        <v>0</v>
      </c>
      <c r="S36" s="60">
        <f>Eingabe!$C$25+Eingabe!$E$25*'Berechnung Ratierlich 2%'!F36</f>
        <v>39</v>
      </c>
      <c r="T36" s="4">
        <f t="shared" si="9"/>
        <v>-39</v>
      </c>
    </row>
    <row r="37" spans="1:20">
      <c r="A37" s="27">
        <v>27</v>
      </c>
      <c r="B37" s="3">
        <f t="shared" si="1"/>
        <v>0.01</v>
      </c>
      <c r="C37" s="40">
        <f t="shared" si="0"/>
        <v>0</v>
      </c>
      <c r="D37" s="40">
        <f t="shared" si="2"/>
        <v>0</v>
      </c>
      <c r="E37" s="47">
        <f t="shared" si="3"/>
        <v>0</v>
      </c>
      <c r="F37" s="47">
        <f t="shared" si="4"/>
        <v>0</v>
      </c>
      <c r="G37" s="27">
        <f>IF(VLOOKUP(A37,Wechsel!$A$11:$E$31,1)=A37,VLOOKUP(A37,Wechsel!$A$11:$E$31,1),0)</f>
        <v>0</v>
      </c>
      <c r="H37" s="35">
        <f>IF(G37&gt;0,VLOOKUP(A37,Wechsel!$A$11:$E$31,3),H36)</f>
        <v>0</v>
      </c>
      <c r="I37" s="35">
        <f>IF(G37&gt;0,VLOOKUP(A37,Wechsel!$A$11:$E$31,4),I36)</f>
        <v>0</v>
      </c>
      <c r="J37" s="35">
        <f>IF(G37&gt;0,VLOOKUP(A37,Wechsel!$A$11:$E$31,5),J36)</f>
        <v>1</v>
      </c>
      <c r="K37" s="52">
        <f t="shared" si="10"/>
        <v>0</v>
      </c>
      <c r="L37" s="53">
        <f t="shared" si="11"/>
        <v>0</v>
      </c>
      <c r="M37" s="54">
        <f t="shared" si="5"/>
        <v>0</v>
      </c>
      <c r="N37" s="59">
        <f t="shared" si="6"/>
        <v>1</v>
      </c>
      <c r="O37" s="53">
        <f t="shared" si="12"/>
        <v>0</v>
      </c>
      <c r="P37" s="52">
        <f>MAX(P36-Eingabe!$E$28,0)</f>
        <v>0</v>
      </c>
      <c r="Q37" s="60">
        <f t="shared" si="7"/>
        <v>0</v>
      </c>
      <c r="R37" s="60">
        <f t="shared" si="13"/>
        <v>0</v>
      </c>
      <c r="S37" s="60">
        <f>Eingabe!$C$25+Eingabe!$E$25*'Berechnung Ratierlich 2%'!F37</f>
        <v>39</v>
      </c>
      <c r="T37" s="4">
        <f t="shared" si="9"/>
        <v>-39</v>
      </c>
    </row>
    <row r="38" spans="1:20">
      <c r="A38" s="27">
        <v>28</v>
      </c>
      <c r="B38" s="3">
        <f t="shared" si="1"/>
        <v>0.01</v>
      </c>
      <c r="C38" s="40">
        <f t="shared" si="0"/>
        <v>0</v>
      </c>
      <c r="D38" s="40">
        <f t="shared" si="2"/>
        <v>0</v>
      </c>
      <c r="E38" s="47">
        <f t="shared" si="3"/>
        <v>0</v>
      </c>
      <c r="F38" s="47">
        <f t="shared" si="4"/>
        <v>0</v>
      </c>
      <c r="G38" s="27">
        <f>IF(VLOOKUP(A38,Wechsel!$A$11:$E$31,1)=A38,VLOOKUP(A38,Wechsel!$A$11:$E$31,1),0)</f>
        <v>0</v>
      </c>
      <c r="H38" s="35">
        <f>IF(G38&gt;0,VLOOKUP(A38,Wechsel!$A$11:$E$31,3),H37)</f>
        <v>0</v>
      </c>
      <c r="I38" s="35">
        <f>IF(G38&gt;0,VLOOKUP(A38,Wechsel!$A$11:$E$31,4),I37)</f>
        <v>0</v>
      </c>
      <c r="J38" s="35">
        <f>IF(G38&gt;0,VLOOKUP(A38,Wechsel!$A$11:$E$31,5),J37)</f>
        <v>1</v>
      </c>
      <c r="K38" s="52">
        <f t="shared" si="10"/>
        <v>0</v>
      </c>
      <c r="L38" s="53">
        <f t="shared" si="11"/>
        <v>0</v>
      </c>
      <c r="M38" s="54">
        <f t="shared" si="5"/>
        <v>0</v>
      </c>
      <c r="N38" s="59">
        <f t="shared" si="6"/>
        <v>1</v>
      </c>
      <c r="O38" s="53">
        <f t="shared" si="12"/>
        <v>0</v>
      </c>
      <c r="P38" s="52">
        <f>MAX(P37-Eingabe!$E$28,0)</f>
        <v>0</v>
      </c>
      <c r="Q38" s="60">
        <f t="shared" si="7"/>
        <v>0</v>
      </c>
      <c r="R38" s="60">
        <f t="shared" si="13"/>
        <v>0</v>
      </c>
      <c r="S38" s="60">
        <f>Eingabe!$C$25+Eingabe!$E$25*'Berechnung Ratierlich 2%'!F38</f>
        <v>39</v>
      </c>
      <c r="T38" s="4">
        <f t="shared" si="9"/>
        <v>-39</v>
      </c>
    </row>
    <row r="39" spans="1:20">
      <c r="A39" s="27">
        <v>29</v>
      </c>
      <c r="B39" s="3">
        <f t="shared" si="1"/>
        <v>0.01</v>
      </c>
      <c r="C39" s="40">
        <f t="shared" si="0"/>
        <v>0</v>
      </c>
      <c r="D39" s="40">
        <f t="shared" si="2"/>
        <v>0</v>
      </c>
      <c r="E39" s="47">
        <f t="shared" si="3"/>
        <v>0</v>
      </c>
      <c r="F39" s="47">
        <f t="shared" si="4"/>
        <v>0</v>
      </c>
      <c r="G39" s="27">
        <f>IF(VLOOKUP(A39,Wechsel!$A$11:$E$31,1)=A39,VLOOKUP(A39,Wechsel!$A$11:$E$31,1),0)</f>
        <v>0</v>
      </c>
      <c r="H39" s="35">
        <f>IF(G39&gt;0,VLOOKUP(A39,Wechsel!$A$11:$E$31,3),H38)</f>
        <v>0</v>
      </c>
      <c r="I39" s="35">
        <f>IF(G39&gt;0,VLOOKUP(A39,Wechsel!$A$11:$E$31,4),I38)</f>
        <v>0</v>
      </c>
      <c r="J39" s="35">
        <f>IF(G39&gt;0,VLOOKUP(A39,Wechsel!$A$11:$E$31,5),J38)</f>
        <v>1</v>
      </c>
      <c r="K39" s="52">
        <f t="shared" si="10"/>
        <v>0</v>
      </c>
      <c r="L39" s="53">
        <f t="shared" si="11"/>
        <v>0</v>
      </c>
      <c r="M39" s="54">
        <f t="shared" si="5"/>
        <v>0</v>
      </c>
      <c r="N39" s="59">
        <f>1-(H39*$G$5+I39*$H$5+J39*$I$5)</f>
        <v>1</v>
      </c>
      <c r="O39" s="53">
        <f t="shared" si="12"/>
        <v>0</v>
      </c>
      <c r="P39" s="52">
        <f>MAX(P38-Eingabe!$E$28,0)</f>
        <v>0</v>
      </c>
      <c r="Q39" s="60">
        <f t="shared" si="7"/>
        <v>0</v>
      </c>
      <c r="R39" s="60">
        <f t="shared" si="13"/>
        <v>0</v>
      </c>
      <c r="S39" s="60">
        <f>Eingabe!$C$25+Eingabe!$E$25*'Berechnung Ratierlich 2%'!F39</f>
        <v>39</v>
      </c>
      <c r="T39" s="4">
        <f t="shared" si="9"/>
        <v>-39</v>
      </c>
    </row>
    <row r="40" spans="1:20">
      <c r="A40" s="27">
        <v>30</v>
      </c>
      <c r="B40" s="3">
        <f t="shared" si="1"/>
        <v>0.01</v>
      </c>
      <c r="C40" s="40">
        <f t="shared" si="0"/>
        <v>0</v>
      </c>
      <c r="D40" s="40">
        <f t="shared" si="2"/>
        <v>0</v>
      </c>
      <c r="E40" s="47">
        <f t="shared" si="3"/>
        <v>0</v>
      </c>
      <c r="F40" s="47">
        <f t="shared" si="4"/>
        <v>0</v>
      </c>
      <c r="G40" s="27">
        <f>IF(VLOOKUP(A40,Wechsel!$A$11:$E$31,1)=A40,VLOOKUP(A40,Wechsel!$A$11:$E$31,1),0)</f>
        <v>0</v>
      </c>
      <c r="H40" s="35">
        <f>IF(G40&gt;0,VLOOKUP(A40,Wechsel!$A$11:$E$31,3),H39)</f>
        <v>0</v>
      </c>
      <c r="I40" s="35">
        <f>IF(G40&gt;0,VLOOKUP(A40,Wechsel!$A$11:$E$31,4),I39)</f>
        <v>0</v>
      </c>
      <c r="J40" s="35">
        <f>IF(G40&gt;0,VLOOKUP(A40,Wechsel!$A$11:$E$31,5),J39)</f>
        <v>1</v>
      </c>
      <c r="K40" s="52">
        <f t="shared" si="10"/>
        <v>0</v>
      </c>
      <c r="L40" s="53">
        <f t="shared" si="11"/>
        <v>0</v>
      </c>
      <c r="M40" s="54">
        <f t="shared" si="5"/>
        <v>0</v>
      </c>
      <c r="N40" s="59">
        <f t="shared" si="6"/>
        <v>1</v>
      </c>
      <c r="O40" s="53">
        <f t="shared" si="12"/>
        <v>0</v>
      </c>
      <c r="P40" s="52">
        <f>MAX(P39-Eingabe!$E$28,0)</f>
        <v>0</v>
      </c>
      <c r="Q40" s="60">
        <f t="shared" si="7"/>
        <v>0</v>
      </c>
      <c r="R40" s="60">
        <f t="shared" si="13"/>
        <v>0</v>
      </c>
      <c r="S40" s="60">
        <f>Eingabe!$C$25+Eingabe!$E$25*'Berechnung Ratierlich 2%'!F40</f>
        <v>39</v>
      </c>
      <c r="T40" s="4">
        <f t="shared" si="9"/>
        <v>-39</v>
      </c>
    </row>
    <row r="41" spans="1:20">
      <c r="A41" s="27">
        <v>31</v>
      </c>
      <c r="B41" s="3">
        <f t="shared" si="1"/>
        <v>0.01</v>
      </c>
      <c r="C41" s="40">
        <f t="shared" si="0"/>
        <v>0</v>
      </c>
      <c r="D41" s="40">
        <f t="shared" si="2"/>
        <v>0</v>
      </c>
      <c r="E41" s="47">
        <f t="shared" si="3"/>
        <v>0</v>
      </c>
      <c r="F41" s="47">
        <f t="shared" si="4"/>
        <v>0</v>
      </c>
      <c r="G41" s="27">
        <f>IF(VLOOKUP(A41,Wechsel!$A$11:$E$31,1)=A41,VLOOKUP(A41,Wechsel!$A$11:$E$31,1),0)</f>
        <v>0</v>
      </c>
      <c r="H41" s="35">
        <f>IF(G41&gt;0,VLOOKUP(A41,Wechsel!$A$11:$E$31,3),H40)</f>
        <v>0</v>
      </c>
      <c r="I41" s="35">
        <f>IF(G41&gt;0,VLOOKUP(A41,Wechsel!$A$11:$E$31,4),I40)</f>
        <v>0</v>
      </c>
      <c r="J41" s="35">
        <f>IF(G41&gt;0,VLOOKUP(A41,Wechsel!$A$11:$E$31,5),J40)</f>
        <v>1</v>
      </c>
      <c r="K41" s="52">
        <f t="shared" si="10"/>
        <v>0</v>
      </c>
      <c r="L41" s="53">
        <f t="shared" si="11"/>
        <v>0</v>
      </c>
      <c r="M41" s="54">
        <f t="shared" si="5"/>
        <v>0</v>
      </c>
      <c r="N41" s="59">
        <f t="shared" si="6"/>
        <v>1</v>
      </c>
      <c r="O41" s="53">
        <f t="shared" si="12"/>
        <v>0</v>
      </c>
      <c r="P41" s="52">
        <f>MAX(P40-Eingabe!$E$28,0)</f>
        <v>0</v>
      </c>
      <c r="Q41" s="60">
        <f t="shared" si="7"/>
        <v>0</v>
      </c>
      <c r="R41" s="60">
        <f t="shared" si="13"/>
        <v>0</v>
      </c>
      <c r="S41" s="60">
        <f>Eingabe!$C$25+Eingabe!$E$25*'Berechnung Ratierlich 2%'!F41</f>
        <v>39</v>
      </c>
      <c r="T41" s="4">
        <f t="shared" si="9"/>
        <v>-39</v>
      </c>
    </row>
    <row r="42" spans="1:20">
      <c r="A42" s="27">
        <v>32</v>
      </c>
      <c r="B42" s="3">
        <f t="shared" si="1"/>
        <v>0.01</v>
      </c>
      <c r="C42" s="40">
        <f t="shared" si="0"/>
        <v>0</v>
      </c>
      <c r="D42" s="40">
        <f t="shared" si="2"/>
        <v>0</v>
      </c>
      <c r="E42" s="47">
        <f t="shared" si="3"/>
        <v>0</v>
      </c>
      <c r="F42" s="47">
        <f t="shared" si="4"/>
        <v>0</v>
      </c>
      <c r="G42" s="27">
        <f>IF(VLOOKUP(A42,Wechsel!$A$11:$E$31,1)=A42,VLOOKUP(A42,Wechsel!$A$11:$E$31,1),0)</f>
        <v>0</v>
      </c>
      <c r="H42" s="35">
        <f>IF(G42&gt;0,VLOOKUP(A42,Wechsel!$A$11:$E$31,3),H41)</f>
        <v>0</v>
      </c>
      <c r="I42" s="35">
        <f>IF(G42&gt;0,VLOOKUP(A42,Wechsel!$A$11:$E$31,4),I41)</f>
        <v>0</v>
      </c>
      <c r="J42" s="35">
        <f>IF(G42&gt;0,VLOOKUP(A42,Wechsel!$A$11:$E$31,5),J41)</f>
        <v>1</v>
      </c>
      <c r="K42" s="52">
        <f t="shared" si="10"/>
        <v>0</v>
      </c>
      <c r="L42" s="53">
        <f t="shared" si="11"/>
        <v>0</v>
      </c>
      <c r="M42" s="54">
        <f t="shared" si="5"/>
        <v>0</v>
      </c>
      <c r="N42" s="59">
        <f t="shared" si="6"/>
        <v>1</v>
      </c>
      <c r="O42" s="53">
        <f t="shared" si="12"/>
        <v>0</v>
      </c>
      <c r="P42" s="52">
        <f>MAX(P41-Eingabe!$E$28,0)</f>
        <v>0</v>
      </c>
      <c r="Q42" s="60">
        <f t="shared" si="7"/>
        <v>0</v>
      </c>
      <c r="R42" s="60">
        <f t="shared" si="13"/>
        <v>0</v>
      </c>
      <c r="S42" s="60">
        <f>Eingabe!$C$25+Eingabe!$E$25*'Berechnung Ratierlich 2%'!F42</f>
        <v>39</v>
      </c>
      <c r="T42" s="4">
        <f t="shared" si="9"/>
        <v>-39</v>
      </c>
    </row>
    <row r="43" spans="1:20">
      <c r="A43" s="27">
        <v>33</v>
      </c>
      <c r="B43" s="3">
        <f t="shared" si="1"/>
        <v>0.01</v>
      </c>
      <c r="C43" s="40">
        <f t="shared" ref="C43:C60" si="14">IF($B$3&gt;=A43,$B$2,0)/(1+B43)</f>
        <v>0</v>
      </c>
      <c r="D43" s="40">
        <f t="shared" si="2"/>
        <v>0</v>
      </c>
      <c r="E43" s="47">
        <f t="shared" si="3"/>
        <v>0</v>
      </c>
      <c r="F43" s="47">
        <f t="shared" si="4"/>
        <v>0</v>
      </c>
      <c r="G43" s="27">
        <f>IF(VLOOKUP(A43,Wechsel!$A$11:$E$31,1)=A43,VLOOKUP(A43,Wechsel!$A$11:$E$31,1),0)</f>
        <v>0</v>
      </c>
      <c r="H43" s="35">
        <f>IF(G43&gt;0,VLOOKUP(A43,Wechsel!$A$11:$E$31,3),H42)</f>
        <v>0</v>
      </c>
      <c r="I43" s="35">
        <f>IF(G43&gt;0,VLOOKUP(A43,Wechsel!$A$11:$E$31,4),I42)</f>
        <v>0</v>
      </c>
      <c r="J43" s="35">
        <f>IF(G43&gt;0,VLOOKUP(A43,Wechsel!$A$11:$E$31,5),J42)</f>
        <v>1</v>
      </c>
      <c r="K43" s="52">
        <f t="shared" si="10"/>
        <v>0</v>
      </c>
      <c r="L43" s="53">
        <f t="shared" si="11"/>
        <v>0</v>
      </c>
      <c r="M43" s="54">
        <f t="shared" si="5"/>
        <v>0</v>
      </c>
      <c r="N43" s="59">
        <f t="shared" si="6"/>
        <v>1</v>
      </c>
      <c r="O43" s="53">
        <f t="shared" si="12"/>
        <v>0</v>
      </c>
      <c r="P43" s="52">
        <f>MAX(P42-Eingabe!$E$28,0)</f>
        <v>0</v>
      </c>
      <c r="Q43" s="60">
        <f t="shared" si="7"/>
        <v>0</v>
      </c>
      <c r="R43" s="60">
        <f t="shared" si="13"/>
        <v>0</v>
      </c>
      <c r="S43" s="60">
        <f>Eingabe!$C$25+Eingabe!$E$25*'Berechnung Ratierlich 2%'!F43</f>
        <v>39</v>
      </c>
      <c r="T43" s="4">
        <f t="shared" si="9"/>
        <v>-39</v>
      </c>
    </row>
    <row r="44" spans="1:20">
      <c r="A44" s="27">
        <v>34</v>
      </c>
      <c r="B44" s="3">
        <f t="shared" si="1"/>
        <v>0.01</v>
      </c>
      <c r="C44" s="40">
        <f t="shared" si="14"/>
        <v>0</v>
      </c>
      <c r="D44" s="40">
        <f t="shared" ref="D44:D60" si="15">MAX(IF(A44&gt;$B$3,0,T43),0)</f>
        <v>0</v>
      </c>
      <c r="E44" s="47">
        <f t="shared" ref="E44:E60" si="16">(C44+D44)*$B$1</f>
        <v>0</v>
      </c>
      <c r="F44" s="47">
        <f t="shared" ref="F44:F60" si="17">IF(A44&gt;$B$3,0,C44+E44+D44)</f>
        <v>0</v>
      </c>
      <c r="G44" s="27">
        <f>IF(VLOOKUP(A44,Wechsel!$A$11:$E$31,1)=A44,VLOOKUP(A44,Wechsel!$A$11:$E$31,1),0)</f>
        <v>0</v>
      </c>
      <c r="H44" s="35">
        <f>IF(G44&gt;0,VLOOKUP(A44,Wechsel!$A$11:$E$31,3),H43)</f>
        <v>0</v>
      </c>
      <c r="I44" s="35">
        <f>IF(G44&gt;0,VLOOKUP(A44,Wechsel!$A$11:$E$31,4),I43)</f>
        <v>0</v>
      </c>
      <c r="J44" s="35">
        <f>IF(G44&gt;0,VLOOKUP(A44,Wechsel!$A$11:$E$31,5),J43)</f>
        <v>1</v>
      </c>
      <c r="K44" s="52">
        <f t="shared" si="10"/>
        <v>0</v>
      </c>
      <c r="L44" s="53">
        <f t="shared" si="11"/>
        <v>0</v>
      </c>
      <c r="M44" s="54">
        <f t="shared" ref="M44:M60" si="18">IF(A44&gt;$B$3,0,IF(G43&gt;0,T43,C44+M43))</f>
        <v>0</v>
      </c>
      <c r="N44" s="59">
        <f t="shared" si="6"/>
        <v>1</v>
      </c>
      <c r="O44" s="53">
        <f t="shared" si="12"/>
        <v>0</v>
      </c>
      <c r="P44" s="52">
        <f>MAX(P43-Eingabe!$E$28,0)</f>
        <v>0</v>
      </c>
      <c r="Q44" s="60">
        <f t="shared" si="7"/>
        <v>0</v>
      </c>
      <c r="R44" s="60">
        <f t="shared" si="13"/>
        <v>0</v>
      </c>
      <c r="S44" s="60">
        <f>Eingabe!$C$25+Eingabe!$E$25*'Berechnung Ratierlich 2%'!F44</f>
        <v>39</v>
      </c>
      <c r="T44" s="4">
        <f t="shared" si="9"/>
        <v>-39</v>
      </c>
    </row>
    <row r="45" spans="1:20">
      <c r="A45" s="27">
        <v>35</v>
      </c>
      <c r="B45" s="3">
        <f t="shared" si="1"/>
        <v>0.01</v>
      </c>
      <c r="C45" s="40">
        <f t="shared" si="14"/>
        <v>0</v>
      </c>
      <c r="D45" s="40">
        <f t="shared" si="15"/>
        <v>0</v>
      </c>
      <c r="E45" s="47">
        <f t="shared" si="16"/>
        <v>0</v>
      </c>
      <c r="F45" s="47">
        <f t="shared" si="17"/>
        <v>0</v>
      </c>
      <c r="G45" s="27">
        <f>IF(VLOOKUP(A45,Wechsel!$A$11:$E$31,1)=A45,VLOOKUP(A45,Wechsel!$A$11:$E$31,1),0)</f>
        <v>0</v>
      </c>
      <c r="H45" s="35">
        <f>IF(G45&gt;0,VLOOKUP(A45,Wechsel!$A$11:$E$31,3),H44)</f>
        <v>0</v>
      </c>
      <c r="I45" s="35">
        <f>IF(G45&gt;0,VLOOKUP(A45,Wechsel!$A$11:$E$31,4),I44)</f>
        <v>0</v>
      </c>
      <c r="J45" s="35">
        <f>IF(G45&gt;0,VLOOKUP(A45,Wechsel!$A$11:$E$31,5),J44)</f>
        <v>1</v>
      </c>
      <c r="K45" s="52">
        <f t="shared" si="10"/>
        <v>0</v>
      </c>
      <c r="L45" s="53">
        <f t="shared" si="11"/>
        <v>0</v>
      </c>
      <c r="M45" s="54">
        <f t="shared" si="18"/>
        <v>0</v>
      </c>
      <c r="N45" s="59">
        <f t="shared" si="6"/>
        <v>1</v>
      </c>
      <c r="O45" s="53">
        <f t="shared" si="12"/>
        <v>0</v>
      </c>
      <c r="P45" s="52">
        <f>MAX(P44-Eingabe!$E$28,0)</f>
        <v>0</v>
      </c>
      <c r="Q45" s="60">
        <f t="shared" si="7"/>
        <v>0</v>
      </c>
      <c r="R45" s="60">
        <f t="shared" si="13"/>
        <v>0</v>
      </c>
      <c r="S45" s="60">
        <f>Eingabe!$C$25+Eingabe!$E$25*'Berechnung Ratierlich 2%'!F45</f>
        <v>39</v>
      </c>
      <c r="T45" s="4">
        <f t="shared" si="9"/>
        <v>-39</v>
      </c>
    </row>
    <row r="46" spans="1:20">
      <c r="A46" s="27">
        <v>36</v>
      </c>
      <c r="B46" s="3">
        <f t="shared" si="1"/>
        <v>0.01</v>
      </c>
      <c r="C46" s="40">
        <f t="shared" si="14"/>
        <v>0</v>
      </c>
      <c r="D46" s="40">
        <f t="shared" si="15"/>
        <v>0</v>
      </c>
      <c r="E46" s="47">
        <f t="shared" si="16"/>
        <v>0</v>
      </c>
      <c r="F46" s="47">
        <f t="shared" si="17"/>
        <v>0</v>
      </c>
      <c r="G46" s="27">
        <f>IF(VLOOKUP(A46,Wechsel!$A$11:$E$31,1)=A46,VLOOKUP(A46,Wechsel!$A$11:$E$31,1),0)</f>
        <v>0</v>
      </c>
      <c r="H46" s="35">
        <f>IF(G46&gt;0,VLOOKUP(A46,Wechsel!$A$11:$E$31,3),H45)</f>
        <v>0</v>
      </c>
      <c r="I46" s="35">
        <f>IF(G46&gt;0,VLOOKUP(A46,Wechsel!$A$11:$E$31,4),I45)</f>
        <v>0</v>
      </c>
      <c r="J46" s="35">
        <f>IF(G46&gt;0,VLOOKUP(A46,Wechsel!$A$11:$E$31,5),J45)</f>
        <v>1</v>
      </c>
      <c r="K46" s="52">
        <f t="shared" si="10"/>
        <v>0</v>
      </c>
      <c r="L46" s="53">
        <f t="shared" si="11"/>
        <v>0</v>
      </c>
      <c r="M46" s="54">
        <f t="shared" si="18"/>
        <v>0</v>
      </c>
      <c r="N46" s="59">
        <f t="shared" si="6"/>
        <v>1</v>
      </c>
      <c r="O46" s="53">
        <f t="shared" si="12"/>
        <v>0</v>
      </c>
      <c r="P46" s="52">
        <f>MAX(P45-Eingabe!$E$28,0)</f>
        <v>0</v>
      </c>
      <c r="Q46" s="60">
        <f t="shared" si="7"/>
        <v>0</v>
      </c>
      <c r="R46" s="60">
        <f t="shared" si="13"/>
        <v>0</v>
      </c>
      <c r="S46" s="60">
        <f>Eingabe!$C$25+Eingabe!$E$25*'Berechnung Ratierlich 2%'!F46</f>
        <v>39</v>
      </c>
      <c r="T46" s="4">
        <f t="shared" si="9"/>
        <v>-39</v>
      </c>
    </row>
    <row r="47" spans="1:20">
      <c r="A47" s="27">
        <v>37</v>
      </c>
      <c r="B47" s="3">
        <f t="shared" si="1"/>
        <v>0.01</v>
      </c>
      <c r="C47" s="40">
        <f t="shared" si="14"/>
        <v>0</v>
      </c>
      <c r="D47" s="40">
        <f t="shared" si="15"/>
        <v>0</v>
      </c>
      <c r="E47" s="47">
        <f t="shared" si="16"/>
        <v>0</v>
      </c>
      <c r="F47" s="47">
        <f t="shared" si="17"/>
        <v>0</v>
      </c>
      <c r="G47" s="27">
        <f>IF(VLOOKUP(A47,Wechsel!$A$11:$E$31,1)=A47,VLOOKUP(A47,Wechsel!$A$11:$E$31,1),0)</f>
        <v>0</v>
      </c>
      <c r="H47" s="35">
        <f>IF(G47&gt;0,VLOOKUP(A47,Wechsel!$A$11:$E$31,3),H46)</f>
        <v>0</v>
      </c>
      <c r="I47" s="35">
        <f>IF(G47&gt;0,VLOOKUP(A47,Wechsel!$A$11:$E$31,4),I46)</f>
        <v>0</v>
      </c>
      <c r="J47" s="35">
        <f>IF(G47&gt;0,VLOOKUP(A47,Wechsel!$A$11:$E$31,5),J46)</f>
        <v>1</v>
      </c>
      <c r="K47" s="52">
        <f t="shared" si="10"/>
        <v>0</v>
      </c>
      <c r="L47" s="53">
        <f t="shared" si="11"/>
        <v>0</v>
      </c>
      <c r="M47" s="54">
        <f t="shared" si="18"/>
        <v>0</v>
      </c>
      <c r="N47" s="59">
        <f t="shared" si="6"/>
        <v>1</v>
      </c>
      <c r="O47" s="53">
        <f t="shared" si="12"/>
        <v>0</v>
      </c>
      <c r="P47" s="52">
        <f>MAX(P46-Eingabe!$E$28,0)</f>
        <v>0</v>
      </c>
      <c r="Q47" s="60">
        <f t="shared" si="7"/>
        <v>0</v>
      </c>
      <c r="R47" s="60">
        <f t="shared" si="13"/>
        <v>0</v>
      </c>
      <c r="S47" s="60">
        <f>Eingabe!$C$25+Eingabe!$E$25*'Berechnung Ratierlich 2%'!F47</f>
        <v>39</v>
      </c>
      <c r="T47" s="4">
        <f t="shared" si="9"/>
        <v>-39</v>
      </c>
    </row>
    <row r="48" spans="1:20">
      <c r="A48" s="27">
        <v>38</v>
      </c>
      <c r="B48" s="3">
        <f t="shared" si="1"/>
        <v>0.01</v>
      </c>
      <c r="C48" s="40">
        <f t="shared" si="14"/>
        <v>0</v>
      </c>
      <c r="D48" s="40">
        <f t="shared" si="15"/>
        <v>0</v>
      </c>
      <c r="E48" s="47">
        <f t="shared" si="16"/>
        <v>0</v>
      </c>
      <c r="F48" s="47">
        <f t="shared" si="17"/>
        <v>0</v>
      </c>
      <c r="G48" s="27">
        <f>IF(VLOOKUP(A48,Wechsel!$A$11:$E$31,1)=A48,VLOOKUP(A48,Wechsel!$A$11:$E$31,1),0)</f>
        <v>0</v>
      </c>
      <c r="H48" s="35">
        <f>IF(G48&gt;0,VLOOKUP(A48,Wechsel!$A$11:$E$31,3),H47)</f>
        <v>0</v>
      </c>
      <c r="I48" s="35">
        <f>IF(G48&gt;0,VLOOKUP(A48,Wechsel!$A$11:$E$31,4),I47)</f>
        <v>0</v>
      </c>
      <c r="J48" s="35">
        <f>IF(G48&gt;0,VLOOKUP(A48,Wechsel!$A$11:$E$31,5),J47)</f>
        <v>1</v>
      </c>
      <c r="K48" s="52">
        <f t="shared" si="10"/>
        <v>0</v>
      </c>
      <c r="L48" s="53">
        <f t="shared" si="11"/>
        <v>0</v>
      </c>
      <c r="M48" s="54">
        <f t="shared" si="18"/>
        <v>0</v>
      </c>
      <c r="N48" s="59">
        <f t="shared" si="6"/>
        <v>1</v>
      </c>
      <c r="O48" s="53">
        <f t="shared" si="12"/>
        <v>0</v>
      </c>
      <c r="P48" s="52">
        <f>MAX(P47-Eingabe!$E$28,0)</f>
        <v>0</v>
      </c>
      <c r="Q48" s="60">
        <f t="shared" si="7"/>
        <v>0</v>
      </c>
      <c r="R48" s="60">
        <f t="shared" si="13"/>
        <v>0</v>
      </c>
      <c r="S48" s="60">
        <f>Eingabe!$C$25+Eingabe!$E$25*'Berechnung Ratierlich 2%'!F48</f>
        <v>39</v>
      </c>
      <c r="T48" s="4">
        <f t="shared" si="9"/>
        <v>-39</v>
      </c>
    </row>
    <row r="49" spans="1:20">
      <c r="A49" s="27">
        <v>39</v>
      </c>
      <c r="B49" s="3">
        <f t="shared" si="1"/>
        <v>0.01</v>
      </c>
      <c r="C49" s="40">
        <f t="shared" si="14"/>
        <v>0</v>
      </c>
      <c r="D49" s="40">
        <f t="shared" si="15"/>
        <v>0</v>
      </c>
      <c r="E49" s="47">
        <f t="shared" si="16"/>
        <v>0</v>
      </c>
      <c r="F49" s="47">
        <f t="shared" si="17"/>
        <v>0</v>
      </c>
      <c r="G49" s="27">
        <f>IF(VLOOKUP(A49,Wechsel!$A$11:$E$31,1)=A49,VLOOKUP(A49,Wechsel!$A$11:$E$31,1),0)</f>
        <v>0</v>
      </c>
      <c r="H49" s="35">
        <f>IF(G49&gt;0,VLOOKUP(A49,Wechsel!$A$11:$E$31,3),H48)</f>
        <v>0</v>
      </c>
      <c r="I49" s="35">
        <f>IF(G49&gt;0,VLOOKUP(A49,Wechsel!$A$11:$E$31,4),I48)</f>
        <v>0</v>
      </c>
      <c r="J49" s="35">
        <f>IF(G49&gt;0,VLOOKUP(A49,Wechsel!$A$11:$E$31,5),J48)</f>
        <v>1</v>
      </c>
      <c r="K49" s="52">
        <f t="shared" si="10"/>
        <v>0</v>
      </c>
      <c r="L49" s="53">
        <f t="shared" si="11"/>
        <v>0</v>
      </c>
      <c r="M49" s="54">
        <f t="shared" si="18"/>
        <v>0</v>
      </c>
      <c r="N49" s="59">
        <f t="shared" si="6"/>
        <v>1</v>
      </c>
      <c r="O49" s="53">
        <f t="shared" si="12"/>
        <v>0</v>
      </c>
      <c r="P49" s="52">
        <f>MAX(P48-Eingabe!$E$28,0)</f>
        <v>0</v>
      </c>
      <c r="Q49" s="60">
        <f t="shared" si="7"/>
        <v>0</v>
      </c>
      <c r="R49" s="60">
        <f t="shared" si="13"/>
        <v>0</v>
      </c>
      <c r="S49" s="60">
        <f>Eingabe!$C$25+Eingabe!$E$25*'Berechnung Ratierlich 2%'!F49</f>
        <v>39</v>
      </c>
      <c r="T49" s="4">
        <f t="shared" si="9"/>
        <v>-39</v>
      </c>
    </row>
    <row r="50" spans="1:20">
      <c r="A50" s="27">
        <v>40</v>
      </c>
      <c r="B50" s="3">
        <f t="shared" si="1"/>
        <v>0.01</v>
      </c>
      <c r="C50" s="40">
        <f t="shared" si="14"/>
        <v>0</v>
      </c>
      <c r="D50" s="40">
        <f t="shared" si="15"/>
        <v>0</v>
      </c>
      <c r="E50" s="47">
        <f t="shared" si="16"/>
        <v>0</v>
      </c>
      <c r="F50" s="47">
        <f t="shared" si="17"/>
        <v>0</v>
      </c>
      <c r="G50" s="27">
        <f>IF(VLOOKUP(A50,Wechsel!$A$11:$E$31,1)=A50,VLOOKUP(A50,Wechsel!$A$11:$E$31,1),0)</f>
        <v>0</v>
      </c>
      <c r="H50" s="35">
        <f>IF(G50&gt;0,VLOOKUP(A50,Wechsel!$A$11:$E$31,3),H49)</f>
        <v>0</v>
      </c>
      <c r="I50" s="35">
        <f>IF(G50&gt;0,VLOOKUP(A50,Wechsel!$A$11:$E$31,4),I49)</f>
        <v>0</v>
      </c>
      <c r="J50" s="35">
        <f>IF(G50&gt;0,VLOOKUP(A50,Wechsel!$A$11:$E$31,5),J49)</f>
        <v>1</v>
      </c>
      <c r="K50" s="52">
        <f t="shared" si="10"/>
        <v>0</v>
      </c>
      <c r="L50" s="53">
        <f t="shared" si="11"/>
        <v>0</v>
      </c>
      <c r="M50" s="54">
        <f t="shared" si="18"/>
        <v>0</v>
      </c>
      <c r="N50" s="59">
        <f t="shared" si="6"/>
        <v>1</v>
      </c>
      <c r="O50" s="53">
        <f t="shared" si="12"/>
        <v>0</v>
      </c>
      <c r="P50" s="52">
        <f>MAX(P49-Eingabe!$E$28,0)</f>
        <v>0</v>
      </c>
      <c r="Q50" s="60">
        <f t="shared" si="7"/>
        <v>0</v>
      </c>
      <c r="R50" s="60">
        <f t="shared" si="13"/>
        <v>0</v>
      </c>
      <c r="S50" s="60">
        <f>Eingabe!$C$25+Eingabe!$E$25*'Berechnung Ratierlich 2%'!F50</f>
        <v>39</v>
      </c>
      <c r="T50" s="4">
        <f t="shared" si="9"/>
        <v>-39</v>
      </c>
    </row>
    <row r="51" spans="1:20">
      <c r="A51" s="27">
        <v>41</v>
      </c>
      <c r="B51" s="3">
        <f t="shared" si="1"/>
        <v>0.01</v>
      </c>
      <c r="C51" s="40">
        <f t="shared" si="14"/>
        <v>0</v>
      </c>
      <c r="D51" s="40">
        <f t="shared" si="15"/>
        <v>0</v>
      </c>
      <c r="E51" s="47">
        <f t="shared" si="16"/>
        <v>0</v>
      </c>
      <c r="F51" s="47">
        <f t="shared" si="17"/>
        <v>0</v>
      </c>
      <c r="G51" s="27">
        <f>IF(VLOOKUP(A51,Wechsel!$A$11:$E$31,1)=A51,VLOOKUP(A51,Wechsel!$A$11:$E$31,1),0)</f>
        <v>0</v>
      </c>
      <c r="H51" s="35">
        <f>IF(G51&gt;0,VLOOKUP(A51,Wechsel!$A$11:$E$31,3),H50)</f>
        <v>0</v>
      </c>
      <c r="I51" s="35">
        <f>IF(G51&gt;0,VLOOKUP(A51,Wechsel!$A$11:$E$31,4),I50)</f>
        <v>0</v>
      </c>
      <c r="J51" s="35">
        <f>IF(G51&gt;0,VLOOKUP(A51,Wechsel!$A$11:$E$31,5),J50)</f>
        <v>1</v>
      </c>
      <c r="K51" s="52">
        <f t="shared" si="10"/>
        <v>0</v>
      </c>
      <c r="L51" s="53">
        <f t="shared" si="11"/>
        <v>0</v>
      </c>
      <c r="M51" s="54">
        <f t="shared" si="18"/>
        <v>0</v>
      </c>
      <c r="N51" s="59">
        <f t="shared" si="6"/>
        <v>1</v>
      </c>
      <c r="O51" s="53">
        <f t="shared" si="12"/>
        <v>0</v>
      </c>
      <c r="P51" s="52">
        <f>MAX(P50-Eingabe!$E$28,0)</f>
        <v>0</v>
      </c>
      <c r="Q51" s="60">
        <f t="shared" si="7"/>
        <v>0</v>
      </c>
      <c r="R51" s="60">
        <f t="shared" si="13"/>
        <v>0</v>
      </c>
      <c r="S51" s="60">
        <f>Eingabe!$C$25+Eingabe!$E$25*'Berechnung Ratierlich 2%'!F51</f>
        <v>39</v>
      </c>
      <c r="T51" s="4">
        <f t="shared" si="9"/>
        <v>-39</v>
      </c>
    </row>
    <row r="52" spans="1:20">
      <c r="A52" s="27">
        <v>42</v>
      </c>
      <c r="B52" s="3">
        <f t="shared" si="1"/>
        <v>0.01</v>
      </c>
      <c r="C52" s="40">
        <f t="shared" si="14"/>
        <v>0</v>
      </c>
      <c r="D52" s="40">
        <f t="shared" si="15"/>
        <v>0</v>
      </c>
      <c r="E52" s="47">
        <f t="shared" si="16"/>
        <v>0</v>
      </c>
      <c r="F52" s="47">
        <f t="shared" si="17"/>
        <v>0</v>
      </c>
      <c r="G52" s="27">
        <f>IF(VLOOKUP(A52,Wechsel!$A$11:$E$31,1)=A52,VLOOKUP(A52,Wechsel!$A$11:$E$31,1),0)</f>
        <v>0</v>
      </c>
      <c r="H52" s="35">
        <f>IF(G52&gt;0,VLOOKUP(A52,Wechsel!$A$11:$E$31,3),H51)</f>
        <v>0</v>
      </c>
      <c r="I52" s="35">
        <f>IF(G52&gt;0,VLOOKUP(A52,Wechsel!$A$11:$E$31,4),I51)</f>
        <v>0</v>
      </c>
      <c r="J52" s="35">
        <f>IF(G52&gt;0,VLOOKUP(A52,Wechsel!$A$11:$E$31,5),J51)</f>
        <v>1</v>
      </c>
      <c r="K52" s="52">
        <f t="shared" si="10"/>
        <v>0</v>
      </c>
      <c r="L52" s="53">
        <f t="shared" si="11"/>
        <v>0</v>
      </c>
      <c r="M52" s="54">
        <f t="shared" si="18"/>
        <v>0</v>
      </c>
      <c r="N52" s="59">
        <f t="shared" si="6"/>
        <v>1</v>
      </c>
      <c r="O52" s="53">
        <f t="shared" si="12"/>
        <v>0</v>
      </c>
      <c r="P52" s="52">
        <f>MAX(P51-Eingabe!$E$28,0)</f>
        <v>0</v>
      </c>
      <c r="Q52" s="60">
        <f t="shared" si="7"/>
        <v>0</v>
      </c>
      <c r="R52" s="60">
        <f t="shared" si="13"/>
        <v>0</v>
      </c>
      <c r="S52" s="60">
        <f>Eingabe!$C$25+Eingabe!$E$25*'Berechnung Ratierlich 2%'!F52</f>
        <v>39</v>
      </c>
      <c r="T52" s="4">
        <f t="shared" si="9"/>
        <v>-39</v>
      </c>
    </row>
    <row r="53" spans="1:20">
      <c r="A53" s="27">
        <v>43</v>
      </c>
      <c r="B53" s="3">
        <f t="shared" si="1"/>
        <v>0.01</v>
      </c>
      <c r="C53" s="40">
        <f t="shared" si="14"/>
        <v>0</v>
      </c>
      <c r="D53" s="40">
        <f t="shared" si="15"/>
        <v>0</v>
      </c>
      <c r="E53" s="47">
        <f t="shared" si="16"/>
        <v>0</v>
      </c>
      <c r="F53" s="47">
        <f t="shared" si="17"/>
        <v>0</v>
      </c>
      <c r="G53" s="27">
        <f>IF(VLOOKUP(A53,Wechsel!$A$11:$E$31,1)=A53,VLOOKUP(A53,Wechsel!$A$11:$E$31,1),0)</f>
        <v>0</v>
      </c>
      <c r="H53" s="35">
        <f>IF(G53&gt;0,VLOOKUP(A53,Wechsel!$A$11:$E$31,3),H52)</f>
        <v>0</v>
      </c>
      <c r="I53" s="35">
        <f>IF(G53&gt;0,VLOOKUP(A53,Wechsel!$A$11:$E$31,4),I52)</f>
        <v>0</v>
      </c>
      <c r="J53" s="35">
        <f>IF(G53&gt;0,VLOOKUP(A53,Wechsel!$A$11:$E$31,5),J52)</f>
        <v>1</v>
      </c>
      <c r="K53" s="52">
        <f t="shared" si="10"/>
        <v>0</v>
      </c>
      <c r="L53" s="53">
        <f t="shared" si="11"/>
        <v>0</v>
      </c>
      <c r="M53" s="54">
        <f t="shared" si="18"/>
        <v>0</v>
      </c>
      <c r="N53" s="59">
        <f t="shared" si="6"/>
        <v>1</v>
      </c>
      <c r="O53" s="53">
        <f t="shared" si="12"/>
        <v>0</v>
      </c>
      <c r="P53" s="52">
        <f>MAX(P52-Eingabe!$E$28,0)</f>
        <v>0</v>
      </c>
      <c r="Q53" s="60">
        <f t="shared" si="7"/>
        <v>0</v>
      </c>
      <c r="R53" s="60">
        <f t="shared" si="13"/>
        <v>0</v>
      </c>
      <c r="S53" s="60">
        <f>Eingabe!$C$25+Eingabe!$E$25*'Berechnung Ratierlich 2%'!F53</f>
        <v>39</v>
      </c>
      <c r="T53" s="4">
        <f t="shared" si="9"/>
        <v>-39</v>
      </c>
    </row>
    <row r="54" spans="1:20">
      <c r="A54" s="27">
        <v>44</v>
      </c>
      <c r="B54" s="3">
        <f t="shared" si="1"/>
        <v>0.01</v>
      </c>
      <c r="C54" s="40">
        <f t="shared" si="14"/>
        <v>0</v>
      </c>
      <c r="D54" s="40">
        <f t="shared" si="15"/>
        <v>0</v>
      </c>
      <c r="E54" s="47">
        <f t="shared" si="16"/>
        <v>0</v>
      </c>
      <c r="F54" s="47">
        <f t="shared" si="17"/>
        <v>0</v>
      </c>
      <c r="G54" s="27">
        <f>IF(VLOOKUP(A54,Wechsel!$A$11:$E$31,1)=A54,VLOOKUP(A54,Wechsel!$A$11:$E$31,1),0)</f>
        <v>0</v>
      </c>
      <c r="H54" s="35">
        <f>IF(G54&gt;0,VLOOKUP(A54,Wechsel!$A$11:$E$31,3),H53)</f>
        <v>0</v>
      </c>
      <c r="I54" s="35">
        <f>IF(G54&gt;0,VLOOKUP(A54,Wechsel!$A$11:$E$31,4),I53)</f>
        <v>0</v>
      </c>
      <c r="J54" s="35">
        <f>IF(G54&gt;0,VLOOKUP(A54,Wechsel!$A$11:$E$31,5),J53)</f>
        <v>1</v>
      </c>
      <c r="K54" s="52">
        <f t="shared" si="10"/>
        <v>0</v>
      </c>
      <c r="L54" s="53">
        <f t="shared" si="11"/>
        <v>0</v>
      </c>
      <c r="M54" s="54">
        <f t="shared" si="18"/>
        <v>0</v>
      </c>
      <c r="N54" s="59">
        <f t="shared" si="6"/>
        <v>1</v>
      </c>
      <c r="O54" s="53">
        <f t="shared" si="12"/>
        <v>0</v>
      </c>
      <c r="P54" s="52">
        <f>MAX(P53-Eingabe!$E$28,0)</f>
        <v>0</v>
      </c>
      <c r="Q54" s="60">
        <f t="shared" si="7"/>
        <v>0</v>
      </c>
      <c r="R54" s="60">
        <f t="shared" si="13"/>
        <v>0</v>
      </c>
      <c r="S54" s="60">
        <f>Eingabe!$C$25+Eingabe!$E$25*'Berechnung Ratierlich 2%'!F54</f>
        <v>39</v>
      </c>
      <c r="T54" s="4">
        <f t="shared" si="9"/>
        <v>-39</v>
      </c>
    </row>
    <row r="55" spans="1:20">
      <c r="A55" s="27">
        <v>45</v>
      </c>
      <c r="B55" s="3">
        <f t="shared" si="1"/>
        <v>0.01</v>
      </c>
      <c r="C55" s="40">
        <f t="shared" si="14"/>
        <v>0</v>
      </c>
      <c r="D55" s="40">
        <f t="shared" si="15"/>
        <v>0</v>
      </c>
      <c r="E55" s="47">
        <f t="shared" si="16"/>
        <v>0</v>
      </c>
      <c r="F55" s="47">
        <f t="shared" si="17"/>
        <v>0</v>
      </c>
      <c r="G55" s="27">
        <f>IF(VLOOKUP(A55,Wechsel!$A$11:$E$31,1)=A55,VLOOKUP(A55,Wechsel!$A$11:$E$31,1),0)</f>
        <v>0</v>
      </c>
      <c r="H55" s="35">
        <f>IF(G55&gt;0,VLOOKUP(A55,Wechsel!$A$11:$E$31,3),H54)</f>
        <v>0</v>
      </c>
      <c r="I55" s="35">
        <f>IF(G55&gt;0,VLOOKUP(A55,Wechsel!$A$11:$E$31,4),I54)</f>
        <v>0</v>
      </c>
      <c r="J55" s="35">
        <f>IF(G55&gt;0,VLOOKUP(A55,Wechsel!$A$11:$E$31,5),J54)</f>
        <v>1</v>
      </c>
      <c r="K55" s="52">
        <f t="shared" si="10"/>
        <v>0</v>
      </c>
      <c r="L55" s="53">
        <f t="shared" si="11"/>
        <v>0</v>
      </c>
      <c r="M55" s="54">
        <f t="shared" si="18"/>
        <v>0</v>
      </c>
      <c r="N55" s="59">
        <f t="shared" si="6"/>
        <v>1</v>
      </c>
      <c r="O55" s="53">
        <f t="shared" si="12"/>
        <v>0</v>
      </c>
      <c r="P55" s="52">
        <f>MAX(P54-Eingabe!$E$28,0)</f>
        <v>0</v>
      </c>
      <c r="Q55" s="60">
        <f t="shared" si="7"/>
        <v>0</v>
      </c>
      <c r="R55" s="60">
        <f t="shared" si="13"/>
        <v>0</v>
      </c>
      <c r="S55" s="60">
        <f>Eingabe!$C$25+Eingabe!$E$25*'Berechnung Ratierlich 2%'!F55</f>
        <v>39</v>
      </c>
      <c r="T55" s="4">
        <f t="shared" si="9"/>
        <v>-39</v>
      </c>
    </row>
    <row r="56" spans="1:20">
      <c r="A56" s="27">
        <v>46</v>
      </c>
      <c r="B56" s="3">
        <f t="shared" si="1"/>
        <v>0.01</v>
      </c>
      <c r="C56" s="40">
        <f t="shared" si="14"/>
        <v>0</v>
      </c>
      <c r="D56" s="40">
        <f t="shared" si="15"/>
        <v>0</v>
      </c>
      <c r="E56" s="47">
        <f t="shared" si="16"/>
        <v>0</v>
      </c>
      <c r="F56" s="47">
        <f t="shared" si="17"/>
        <v>0</v>
      </c>
      <c r="G56" s="27">
        <f>IF(VLOOKUP(A56,Wechsel!$A$11:$E$31,1)=A56,VLOOKUP(A56,Wechsel!$A$11:$E$31,1),0)</f>
        <v>0</v>
      </c>
      <c r="H56" s="35">
        <f>IF(G56&gt;0,VLOOKUP(A56,Wechsel!$A$11:$E$31,3),H55)</f>
        <v>0</v>
      </c>
      <c r="I56" s="35">
        <f>IF(G56&gt;0,VLOOKUP(A56,Wechsel!$A$11:$E$31,4),I55)</f>
        <v>0</v>
      </c>
      <c r="J56" s="35">
        <f>IF(G56&gt;0,VLOOKUP(A56,Wechsel!$A$11:$E$31,5),J55)</f>
        <v>1</v>
      </c>
      <c r="K56" s="52">
        <f t="shared" si="10"/>
        <v>0</v>
      </c>
      <c r="L56" s="53">
        <f t="shared" si="11"/>
        <v>0</v>
      </c>
      <c r="M56" s="54">
        <f t="shared" si="18"/>
        <v>0</v>
      </c>
      <c r="N56" s="59">
        <f t="shared" si="6"/>
        <v>1</v>
      </c>
      <c r="O56" s="53">
        <f t="shared" si="12"/>
        <v>0</v>
      </c>
      <c r="P56" s="52">
        <f>MAX(P55-Eingabe!$E$28,0)</f>
        <v>0</v>
      </c>
      <c r="Q56" s="60">
        <f t="shared" si="7"/>
        <v>0</v>
      </c>
      <c r="R56" s="60">
        <f t="shared" si="13"/>
        <v>0</v>
      </c>
      <c r="S56" s="60">
        <f>Eingabe!$C$25+Eingabe!$E$25*'Berechnung Ratierlich 2%'!F56</f>
        <v>39</v>
      </c>
      <c r="T56" s="4">
        <f t="shared" si="9"/>
        <v>-39</v>
      </c>
    </row>
    <row r="57" spans="1:20">
      <c r="A57" s="27">
        <v>47</v>
      </c>
      <c r="B57" s="3">
        <f t="shared" si="1"/>
        <v>0.01</v>
      </c>
      <c r="C57" s="40">
        <f t="shared" si="14"/>
        <v>0</v>
      </c>
      <c r="D57" s="40">
        <f t="shared" si="15"/>
        <v>0</v>
      </c>
      <c r="E57" s="47">
        <f t="shared" si="16"/>
        <v>0</v>
      </c>
      <c r="F57" s="47">
        <f t="shared" si="17"/>
        <v>0</v>
      </c>
      <c r="G57" s="27">
        <f>IF(VLOOKUP(A57,Wechsel!$A$11:$E$31,1)=A57,VLOOKUP(A57,Wechsel!$A$11:$E$31,1),0)</f>
        <v>0</v>
      </c>
      <c r="H57" s="35">
        <f>IF(G57&gt;0,VLOOKUP(A57,Wechsel!$A$11:$E$31,3),H56)</f>
        <v>0</v>
      </c>
      <c r="I57" s="35">
        <f>IF(G57&gt;0,VLOOKUP(A57,Wechsel!$A$11:$E$31,4),I56)</f>
        <v>0</v>
      </c>
      <c r="J57" s="35">
        <f>IF(G57&gt;0,VLOOKUP(A57,Wechsel!$A$11:$E$31,5),J56)</f>
        <v>1</v>
      </c>
      <c r="K57" s="52">
        <f t="shared" si="10"/>
        <v>0</v>
      </c>
      <c r="L57" s="53">
        <f t="shared" si="11"/>
        <v>0</v>
      </c>
      <c r="M57" s="54">
        <f t="shared" si="18"/>
        <v>0</v>
      </c>
      <c r="N57" s="59">
        <f t="shared" si="6"/>
        <v>1</v>
      </c>
      <c r="O57" s="53">
        <f t="shared" si="12"/>
        <v>0</v>
      </c>
      <c r="P57" s="52">
        <f>MAX(P56-Eingabe!$E$28,0)</f>
        <v>0</v>
      </c>
      <c r="Q57" s="60">
        <f t="shared" si="7"/>
        <v>0</v>
      </c>
      <c r="R57" s="60">
        <f t="shared" si="13"/>
        <v>0</v>
      </c>
      <c r="S57" s="60">
        <f>Eingabe!$C$25+Eingabe!$E$25*'Berechnung Ratierlich 2%'!F57</f>
        <v>39</v>
      </c>
      <c r="T57" s="4">
        <f t="shared" si="9"/>
        <v>-39</v>
      </c>
    </row>
    <row r="58" spans="1:20">
      <c r="A58" s="27">
        <v>48</v>
      </c>
      <c r="B58" s="3">
        <f t="shared" si="1"/>
        <v>0.01</v>
      </c>
      <c r="C58" s="40">
        <f t="shared" si="14"/>
        <v>0</v>
      </c>
      <c r="D58" s="40">
        <f t="shared" si="15"/>
        <v>0</v>
      </c>
      <c r="E58" s="47">
        <f t="shared" si="16"/>
        <v>0</v>
      </c>
      <c r="F58" s="47">
        <f t="shared" si="17"/>
        <v>0</v>
      </c>
      <c r="G58" s="27">
        <f>IF(VLOOKUP(A58,Wechsel!$A$11:$E$31,1)=A58,VLOOKUP(A58,Wechsel!$A$11:$E$31,1),0)</f>
        <v>0</v>
      </c>
      <c r="H58" s="35">
        <f>IF(G58&gt;0,VLOOKUP(A58,Wechsel!$A$11:$E$31,3),H57)</f>
        <v>0</v>
      </c>
      <c r="I58" s="35">
        <f>IF(G58&gt;0,VLOOKUP(A58,Wechsel!$A$11:$E$31,4),I57)</f>
        <v>0</v>
      </c>
      <c r="J58" s="35">
        <f>IF(G58&gt;0,VLOOKUP(A58,Wechsel!$A$11:$E$31,5),J57)</f>
        <v>1</v>
      </c>
      <c r="K58" s="52">
        <f t="shared" si="10"/>
        <v>0</v>
      </c>
      <c r="L58" s="53">
        <f t="shared" si="11"/>
        <v>0</v>
      </c>
      <c r="M58" s="54">
        <f t="shared" si="18"/>
        <v>0</v>
      </c>
      <c r="N58" s="59">
        <f t="shared" si="6"/>
        <v>1</v>
      </c>
      <c r="O58" s="53">
        <f t="shared" si="12"/>
        <v>0</v>
      </c>
      <c r="P58" s="52">
        <f>MAX(P57-Eingabe!$E$28,0)</f>
        <v>0</v>
      </c>
      <c r="Q58" s="60">
        <f t="shared" si="7"/>
        <v>0</v>
      </c>
      <c r="R58" s="60">
        <f t="shared" si="13"/>
        <v>0</v>
      </c>
      <c r="S58" s="60">
        <f>Eingabe!$C$25+Eingabe!$E$25*'Berechnung Ratierlich 2%'!F58</f>
        <v>39</v>
      </c>
      <c r="T58" s="4">
        <f t="shared" si="9"/>
        <v>-39</v>
      </c>
    </row>
    <row r="59" spans="1:20">
      <c r="A59" s="27">
        <v>49</v>
      </c>
      <c r="B59" s="3">
        <f t="shared" si="1"/>
        <v>0.01</v>
      </c>
      <c r="C59" s="40">
        <f t="shared" si="14"/>
        <v>0</v>
      </c>
      <c r="D59" s="40">
        <f t="shared" si="15"/>
        <v>0</v>
      </c>
      <c r="E59" s="47">
        <f t="shared" si="16"/>
        <v>0</v>
      </c>
      <c r="F59" s="47">
        <f t="shared" si="17"/>
        <v>0</v>
      </c>
      <c r="G59" s="27">
        <f>IF(VLOOKUP(A59,Wechsel!$A$11:$E$31,1)=A59,VLOOKUP(A59,Wechsel!$A$11:$E$31,1),0)</f>
        <v>0</v>
      </c>
      <c r="H59" s="35">
        <f>IF(G59&gt;0,VLOOKUP(A59,Wechsel!$A$11:$E$31,3),H58)</f>
        <v>0</v>
      </c>
      <c r="I59" s="35">
        <f>IF(G59&gt;0,VLOOKUP(A59,Wechsel!$A$11:$E$31,4),I58)</f>
        <v>0</v>
      </c>
      <c r="J59" s="35">
        <f>IF(G59&gt;0,VLOOKUP(A59,Wechsel!$A$11:$E$31,5),J58)</f>
        <v>1</v>
      </c>
      <c r="K59" s="52">
        <f t="shared" si="10"/>
        <v>0</v>
      </c>
      <c r="L59" s="53">
        <f t="shared" si="11"/>
        <v>0</v>
      </c>
      <c r="M59" s="54">
        <f t="shared" si="18"/>
        <v>0</v>
      </c>
      <c r="N59" s="59">
        <f t="shared" si="6"/>
        <v>1</v>
      </c>
      <c r="O59" s="53">
        <f t="shared" si="12"/>
        <v>0</v>
      </c>
      <c r="P59" s="52">
        <f>MAX(P58-Eingabe!$E$28,0)</f>
        <v>0</v>
      </c>
      <c r="Q59" s="60">
        <f t="shared" si="7"/>
        <v>0</v>
      </c>
      <c r="R59" s="60">
        <f t="shared" si="13"/>
        <v>0</v>
      </c>
      <c r="S59" s="60">
        <f>Eingabe!$C$25+Eingabe!$E$25*'Berechnung Ratierlich 2%'!F59</f>
        <v>39</v>
      </c>
      <c r="T59" s="4">
        <f t="shared" si="9"/>
        <v>-39</v>
      </c>
    </row>
    <row r="60" spans="1:20">
      <c r="A60" s="27">
        <v>50</v>
      </c>
      <c r="B60" s="3">
        <f t="shared" si="1"/>
        <v>0.01</v>
      </c>
      <c r="C60" s="40">
        <f t="shared" si="14"/>
        <v>0</v>
      </c>
      <c r="D60" s="40">
        <f t="shared" si="15"/>
        <v>0</v>
      </c>
      <c r="E60" s="47">
        <f t="shared" si="16"/>
        <v>0</v>
      </c>
      <c r="F60" s="47">
        <f t="shared" si="17"/>
        <v>0</v>
      </c>
      <c r="G60" s="27">
        <f>IF(VLOOKUP(A60,Wechsel!$A$11:$E$31,1)=A60,VLOOKUP(A60,Wechsel!$A$11:$E$31,1),0)</f>
        <v>0</v>
      </c>
      <c r="H60" s="35">
        <f>IF(G60&gt;0,VLOOKUP(A60,Wechsel!$A$11:$E$31,3),H59)</f>
        <v>0</v>
      </c>
      <c r="I60" s="35">
        <f>IF(G60&gt;0,VLOOKUP(A60,Wechsel!$A$11:$E$31,4),I59)</f>
        <v>0</v>
      </c>
      <c r="J60" s="35">
        <f>IF(G60&gt;0,VLOOKUP(A60,Wechsel!$A$11:$E$31,5),J59)</f>
        <v>1</v>
      </c>
      <c r="K60" s="52">
        <f t="shared" si="10"/>
        <v>0</v>
      </c>
      <c r="L60" s="53">
        <f t="shared" si="11"/>
        <v>0</v>
      </c>
      <c r="M60" s="54">
        <f t="shared" si="18"/>
        <v>0</v>
      </c>
      <c r="N60" s="59">
        <f t="shared" si="6"/>
        <v>1</v>
      </c>
      <c r="O60" s="53">
        <f t="shared" si="12"/>
        <v>0</v>
      </c>
      <c r="P60" s="52">
        <f>MAX(P59-Eingabe!$E$28,0)</f>
        <v>0</v>
      </c>
      <c r="Q60" s="60">
        <f t="shared" si="7"/>
        <v>0</v>
      </c>
      <c r="R60" s="60">
        <f t="shared" si="13"/>
        <v>0</v>
      </c>
      <c r="S60" s="60">
        <f>Eingabe!$C$25+Eingabe!$E$25*'Berechnung Ratierlich 2%'!F60</f>
        <v>39</v>
      </c>
      <c r="T60" s="4">
        <f t="shared" si="9"/>
        <v>-39</v>
      </c>
    </row>
    <row r="61" spans="1:20">
      <c r="A61" s="190">
        <v>51</v>
      </c>
      <c r="B61" s="3">
        <f t="shared" ref="B61:B70" si="19">$G$3*H60+$H$3*I60+$I$3*J60</f>
        <v>0.01</v>
      </c>
      <c r="C61" s="40">
        <f t="shared" ref="C61:C70" si="20">IF($B$3&gt;=A61,$B$2,0)/(1+B61)</f>
        <v>0</v>
      </c>
      <c r="D61" s="40">
        <f t="shared" ref="D61:D70" si="21">MAX(IF(A61&gt;$B$3,0,T60),0)</f>
        <v>0</v>
      </c>
      <c r="E61" s="47">
        <f t="shared" ref="E61:E70" si="22">(C61+D61)*$B$1</f>
        <v>0</v>
      </c>
      <c r="F61" s="47">
        <f t="shared" ref="F61:F70" si="23">IF(A61&gt;$B$3,0,C61+E61+D61)</f>
        <v>0</v>
      </c>
      <c r="G61" s="190">
        <f>IF(VLOOKUP(A61,Wechsel!$A$11:$E$31,1)=A61,VLOOKUP(A61,Wechsel!$A$11:$E$31,1),0)</f>
        <v>0</v>
      </c>
      <c r="H61" s="35">
        <f>IF(G61&gt;0,VLOOKUP(A61,Wechsel!$A$11:$E$31,3),H60)</f>
        <v>0</v>
      </c>
      <c r="I61" s="35">
        <f>IF(G61&gt;0,VLOOKUP(A61,Wechsel!$A$11:$E$31,4),I60)</f>
        <v>0</v>
      </c>
      <c r="J61" s="35">
        <f>IF(G61&gt;0,VLOOKUP(A61,Wechsel!$A$11:$E$31,5),J60)</f>
        <v>1</v>
      </c>
      <c r="K61" s="52">
        <f t="shared" ref="K61:K70" si="24">D61*$M$1*0.7*0.7*$M$2*H61+D61*$M$1*0.85*0.7*$M$2*I61+D61*$M$1*0.7*$M$2*J61</f>
        <v>0</v>
      </c>
      <c r="L61" s="53">
        <f t="shared" ref="L61:L70" si="25">IF(G60&gt;0,K61,K61+L60)</f>
        <v>0</v>
      </c>
      <c r="M61" s="54">
        <f t="shared" ref="M61:M70" si="26">IF(A61&gt;$B$3,0,IF(G60&gt;0,T60,C61+M60))</f>
        <v>0</v>
      </c>
      <c r="N61" s="59">
        <f t="shared" ref="N61:N70" si="27">1-(H61*$G$5+I61*$H$5+J61*$I$5)</f>
        <v>1</v>
      </c>
      <c r="O61" s="53">
        <f t="shared" ref="O61:O70" si="28">IF(G61&gt;0,(F61-M61)*N60,0)</f>
        <v>0</v>
      </c>
      <c r="P61" s="52">
        <f>MAX(P60-Eingabe!$E$28,0)</f>
        <v>0</v>
      </c>
      <c r="Q61" s="60">
        <f t="shared" ref="Q61:Q70" si="29">MAX(0,K61+O61*$M$2-P61-IF(G61&gt;0,-(L60+K61),0))</f>
        <v>0</v>
      </c>
      <c r="R61" s="60">
        <f t="shared" ref="R61:R70" si="30">MAX(IF(G61&gt;0,(H61*$G$4+I61*$H$4+J61*$I$4)*(F61-Q61),0),0)</f>
        <v>0</v>
      </c>
      <c r="S61" s="60">
        <f>Eingabe!$C$25+Eingabe!$E$25*'Berechnung Ratierlich 2%'!F61</f>
        <v>39</v>
      </c>
      <c r="T61" s="4">
        <f t="shared" ref="T61:T70" si="31">F61-Q61-R61-S61</f>
        <v>-39</v>
      </c>
    </row>
    <row r="62" spans="1:20">
      <c r="A62" s="190">
        <v>52</v>
      </c>
      <c r="B62" s="3">
        <f t="shared" si="19"/>
        <v>0.01</v>
      </c>
      <c r="C62" s="40">
        <f t="shared" si="20"/>
        <v>0</v>
      </c>
      <c r="D62" s="40">
        <f t="shared" si="21"/>
        <v>0</v>
      </c>
      <c r="E62" s="47">
        <f t="shared" si="22"/>
        <v>0</v>
      </c>
      <c r="F62" s="47">
        <f t="shared" si="23"/>
        <v>0</v>
      </c>
      <c r="G62" s="190">
        <f>IF(VLOOKUP(A62,Wechsel!$A$11:$E$31,1)=A62,VLOOKUP(A62,Wechsel!$A$11:$E$31,1),0)</f>
        <v>0</v>
      </c>
      <c r="H62" s="35">
        <f>IF(G62&gt;0,VLOOKUP(A62,Wechsel!$A$11:$E$31,3),H61)</f>
        <v>0</v>
      </c>
      <c r="I62" s="35">
        <f>IF(G62&gt;0,VLOOKUP(A62,Wechsel!$A$11:$E$31,4),I61)</f>
        <v>0</v>
      </c>
      <c r="J62" s="35">
        <f>IF(G62&gt;0,VLOOKUP(A62,Wechsel!$A$11:$E$31,5),J61)</f>
        <v>1</v>
      </c>
      <c r="K62" s="52">
        <f t="shared" si="24"/>
        <v>0</v>
      </c>
      <c r="L62" s="53">
        <f t="shared" si="25"/>
        <v>0</v>
      </c>
      <c r="M62" s="54">
        <f t="shared" si="26"/>
        <v>0</v>
      </c>
      <c r="N62" s="59">
        <f t="shared" si="27"/>
        <v>1</v>
      </c>
      <c r="O62" s="53">
        <f t="shared" si="28"/>
        <v>0</v>
      </c>
      <c r="P62" s="52">
        <f>MAX(P61-Eingabe!$E$28,0)</f>
        <v>0</v>
      </c>
      <c r="Q62" s="60">
        <f t="shared" si="29"/>
        <v>0</v>
      </c>
      <c r="R62" s="60">
        <f t="shared" si="30"/>
        <v>0</v>
      </c>
      <c r="S62" s="60">
        <f>Eingabe!$C$25+Eingabe!$E$25*'Berechnung Ratierlich 2%'!F62</f>
        <v>39</v>
      </c>
      <c r="T62" s="4">
        <f t="shared" si="31"/>
        <v>-39</v>
      </c>
    </row>
    <row r="63" spans="1:20">
      <c r="A63" s="190">
        <v>53</v>
      </c>
      <c r="B63" s="3">
        <f t="shared" si="19"/>
        <v>0.01</v>
      </c>
      <c r="C63" s="40">
        <f t="shared" si="20"/>
        <v>0</v>
      </c>
      <c r="D63" s="40">
        <f t="shared" si="21"/>
        <v>0</v>
      </c>
      <c r="E63" s="47">
        <f t="shared" si="22"/>
        <v>0</v>
      </c>
      <c r="F63" s="47">
        <f t="shared" si="23"/>
        <v>0</v>
      </c>
      <c r="G63" s="190">
        <f>IF(VLOOKUP(A63,Wechsel!$A$11:$E$31,1)=A63,VLOOKUP(A63,Wechsel!$A$11:$E$31,1),0)</f>
        <v>0</v>
      </c>
      <c r="H63" s="35">
        <f>IF(G63&gt;0,VLOOKUP(A63,Wechsel!$A$11:$E$31,3),H62)</f>
        <v>0</v>
      </c>
      <c r="I63" s="35">
        <f>IF(G63&gt;0,VLOOKUP(A63,Wechsel!$A$11:$E$31,4),I62)</f>
        <v>0</v>
      </c>
      <c r="J63" s="35">
        <f>IF(G63&gt;0,VLOOKUP(A63,Wechsel!$A$11:$E$31,5),J62)</f>
        <v>1</v>
      </c>
      <c r="K63" s="52">
        <f t="shared" si="24"/>
        <v>0</v>
      </c>
      <c r="L63" s="53">
        <f t="shared" si="25"/>
        <v>0</v>
      </c>
      <c r="M63" s="54">
        <f t="shared" si="26"/>
        <v>0</v>
      </c>
      <c r="N63" s="59">
        <f t="shared" si="27"/>
        <v>1</v>
      </c>
      <c r="O63" s="53">
        <f t="shared" si="28"/>
        <v>0</v>
      </c>
      <c r="P63" s="52">
        <f>MAX(P62-Eingabe!$E$28,0)</f>
        <v>0</v>
      </c>
      <c r="Q63" s="60">
        <f t="shared" si="29"/>
        <v>0</v>
      </c>
      <c r="R63" s="60">
        <f t="shared" si="30"/>
        <v>0</v>
      </c>
      <c r="S63" s="60">
        <f>Eingabe!$C$25+Eingabe!$E$25*'Berechnung Ratierlich 2%'!F63</f>
        <v>39</v>
      </c>
      <c r="T63" s="4">
        <f t="shared" si="31"/>
        <v>-39</v>
      </c>
    </row>
    <row r="64" spans="1:20">
      <c r="A64" s="190">
        <v>54</v>
      </c>
      <c r="B64" s="3">
        <f t="shared" si="19"/>
        <v>0.01</v>
      </c>
      <c r="C64" s="40">
        <f t="shared" si="20"/>
        <v>0</v>
      </c>
      <c r="D64" s="40">
        <f t="shared" si="21"/>
        <v>0</v>
      </c>
      <c r="E64" s="47">
        <f t="shared" si="22"/>
        <v>0</v>
      </c>
      <c r="F64" s="47">
        <f t="shared" si="23"/>
        <v>0</v>
      </c>
      <c r="G64" s="190">
        <f>IF(VLOOKUP(A64,Wechsel!$A$11:$E$31,1)=A64,VLOOKUP(A64,Wechsel!$A$11:$E$31,1),0)</f>
        <v>0</v>
      </c>
      <c r="H64" s="35">
        <f>IF(G64&gt;0,VLOOKUP(A64,Wechsel!$A$11:$E$31,3),H63)</f>
        <v>0</v>
      </c>
      <c r="I64" s="35">
        <f>IF(G64&gt;0,VLOOKUP(A64,Wechsel!$A$11:$E$31,4),I63)</f>
        <v>0</v>
      </c>
      <c r="J64" s="35">
        <f>IF(G64&gt;0,VLOOKUP(A64,Wechsel!$A$11:$E$31,5),J63)</f>
        <v>1</v>
      </c>
      <c r="K64" s="52">
        <f t="shared" si="24"/>
        <v>0</v>
      </c>
      <c r="L64" s="53">
        <f t="shared" si="25"/>
        <v>0</v>
      </c>
      <c r="M64" s="54">
        <f t="shared" si="26"/>
        <v>0</v>
      </c>
      <c r="N64" s="59">
        <f t="shared" si="27"/>
        <v>1</v>
      </c>
      <c r="O64" s="53">
        <f t="shared" si="28"/>
        <v>0</v>
      </c>
      <c r="P64" s="52">
        <f>MAX(P63-Eingabe!$E$28,0)</f>
        <v>0</v>
      </c>
      <c r="Q64" s="60">
        <f t="shared" si="29"/>
        <v>0</v>
      </c>
      <c r="R64" s="60">
        <f t="shared" si="30"/>
        <v>0</v>
      </c>
      <c r="S64" s="60">
        <f>Eingabe!$C$25+Eingabe!$E$25*'Berechnung Ratierlich 2%'!F64</f>
        <v>39</v>
      </c>
      <c r="T64" s="4">
        <f t="shared" si="31"/>
        <v>-39</v>
      </c>
    </row>
    <row r="65" spans="1:20">
      <c r="A65" s="190">
        <v>55</v>
      </c>
      <c r="B65" s="3">
        <f t="shared" si="19"/>
        <v>0.01</v>
      </c>
      <c r="C65" s="40">
        <f t="shared" si="20"/>
        <v>0</v>
      </c>
      <c r="D65" s="40">
        <f t="shared" si="21"/>
        <v>0</v>
      </c>
      <c r="E65" s="47">
        <f t="shared" si="22"/>
        <v>0</v>
      </c>
      <c r="F65" s="47">
        <f t="shared" si="23"/>
        <v>0</v>
      </c>
      <c r="G65" s="190">
        <f>IF(VLOOKUP(A65,Wechsel!$A$11:$E$31,1)=A65,VLOOKUP(A65,Wechsel!$A$11:$E$31,1),0)</f>
        <v>0</v>
      </c>
      <c r="H65" s="35">
        <f>IF(G65&gt;0,VLOOKUP(A65,Wechsel!$A$11:$E$31,3),H64)</f>
        <v>0</v>
      </c>
      <c r="I65" s="35">
        <f>IF(G65&gt;0,VLOOKUP(A65,Wechsel!$A$11:$E$31,4),I64)</f>
        <v>0</v>
      </c>
      <c r="J65" s="35">
        <f>IF(G65&gt;0,VLOOKUP(A65,Wechsel!$A$11:$E$31,5),J64)</f>
        <v>1</v>
      </c>
      <c r="K65" s="52">
        <f t="shared" si="24"/>
        <v>0</v>
      </c>
      <c r="L65" s="53">
        <f t="shared" si="25"/>
        <v>0</v>
      </c>
      <c r="M65" s="54">
        <f t="shared" si="26"/>
        <v>0</v>
      </c>
      <c r="N65" s="59">
        <f t="shared" si="27"/>
        <v>1</v>
      </c>
      <c r="O65" s="53">
        <f t="shared" si="28"/>
        <v>0</v>
      </c>
      <c r="P65" s="52">
        <f>MAX(P64-Eingabe!$E$28,0)</f>
        <v>0</v>
      </c>
      <c r="Q65" s="60">
        <f t="shared" si="29"/>
        <v>0</v>
      </c>
      <c r="R65" s="60">
        <f t="shared" si="30"/>
        <v>0</v>
      </c>
      <c r="S65" s="60">
        <f>Eingabe!$C$25+Eingabe!$E$25*'Berechnung Ratierlich 2%'!F65</f>
        <v>39</v>
      </c>
      <c r="T65" s="4">
        <f t="shared" si="31"/>
        <v>-39</v>
      </c>
    </row>
    <row r="66" spans="1:20">
      <c r="A66" s="190">
        <v>56</v>
      </c>
      <c r="B66" s="3">
        <f t="shared" si="19"/>
        <v>0.01</v>
      </c>
      <c r="C66" s="40">
        <f t="shared" si="20"/>
        <v>0</v>
      </c>
      <c r="D66" s="40">
        <f t="shared" si="21"/>
        <v>0</v>
      </c>
      <c r="E66" s="47">
        <f t="shared" si="22"/>
        <v>0</v>
      </c>
      <c r="F66" s="47">
        <f t="shared" si="23"/>
        <v>0</v>
      </c>
      <c r="G66" s="190">
        <f>IF(VLOOKUP(A66,Wechsel!$A$11:$E$31,1)=A66,VLOOKUP(A66,Wechsel!$A$11:$E$31,1),0)</f>
        <v>0</v>
      </c>
      <c r="H66" s="35">
        <f>IF(G66&gt;0,VLOOKUP(A66,Wechsel!$A$11:$E$31,3),H65)</f>
        <v>0</v>
      </c>
      <c r="I66" s="35">
        <f>IF(G66&gt;0,VLOOKUP(A66,Wechsel!$A$11:$E$31,4),I65)</f>
        <v>0</v>
      </c>
      <c r="J66" s="35">
        <f>IF(G66&gt;0,VLOOKUP(A66,Wechsel!$A$11:$E$31,5),J65)</f>
        <v>1</v>
      </c>
      <c r="K66" s="52">
        <f t="shared" si="24"/>
        <v>0</v>
      </c>
      <c r="L66" s="53">
        <f t="shared" si="25"/>
        <v>0</v>
      </c>
      <c r="M66" s="54">
        <f t="shared" si="26"/>
        <v>0</v>
      </c>
      <c r="N66" s="59">
        <f t="shared" si="27"/>
        <v>1</v>
      </c>
      <c r="O66" s="53">
        <f t="shared" si="28"/>
        <v>0</v>
      </c>
      <c r="P66" s="52">
        <f>MAX(P65-Eingabe!$E$28,0)</f>
        <v>0</v>
      </c>
      <c r="Q66" s="60">
        <f t="shared" si="29"/>
        <v>0</v>
      </c>
      <c r="R66" s="60">
        <f t="shared" si="30"/>
        <v>0</v>
      </c>
      <c r="S66" s="60">
        <f>Eingabe!$C$25+Eingabe!$E$25*'Berechnung Ratierlich 2%'!F66</f>
        <v>39</v>
      </c>
      <c r="T66" s="4">
        <f t="shared" si="31"/>
        <v>-39</v>
      </c>
    </row>
    <row r="67" spans="1:20">
      <c r="A67" s="190">
        <v>57</v>
      </c>
      <c r="B67" s="3">
        <f t="shared" si="19"/>
        <v>0.01</v>
      </c>
      <c r="C67" s="40">
        <f t="shared" si="20"/>
        <v>0</v>
      </c>
      <c r="D67" s="40">
        <f t="shared" si="21"/>
        <v>0</v>
      </c>
      <c r="E67" s="47">
        <f t="shared" si="22"/>
        <v>0</v>
      </c>
      <c r="F67" s="47">
        <f t="shared" si="23"/>
        <v>0</v>
      </c>
      <c r="G67" s="190">
        <f>IF(VLOOKUP(A67,Wechsel!$A$11:$E$31,1)=A67,VLOOKUP(A67,Wechsel!$A$11:$E$31,1),0)</f>
        <v>0</v>
      </c>
      <c r="H67" s="35">
        <f>IF(G67&gt;0,VLOOKUP(A67,Wechsel!$A$11:$E$31,3),H66)</f>
        <v>0</v>
      </c>
      <c r="I67" s="35">
        <f>IF(G67&gt;0,VLOOKUP(A67,Wechsel!$A$11:$E$31,4),I66)</f>
        <v>0</v>
      </c>
      <c r="J67" s="35">
        <f>IF(G67&gt;0,VLOOKUP(A67,Wechsel!$A$11:$E$31,5),J66)</f>
        <v>1</v>
      </c>
      <c r="K67" s="52">
        <f t="shared" si="24"/>
        <v>0</v>
      </c>
      <c r="L67" s="53">
        <f t="shared" si="25"/>
        <v>0</v>
      </c>
      <c r="M67" s="54">
        <f t="shared" si="26"/>
        <v>0</v>
      </c>
      <c r="N67" s="59">
        <f t="shared" si="27"/>
        <v>1</v>
      </c>
      <c r="O67" s="53">
        <f t="shared" si="28"/>
        <v>0</v>
      </c>
      <c r="P67" s="52">
        <f>MAX(P66-Eingabe!$E$28,0)</f>
        <v>0</v>
      </c>
      <c r="Q67" s="60">
        <f t="shared" si="29"/>
        <v>0</v>
      </c>
      <c r="R67" s="60">
        <f t="shared" si="30"/>
        <v>0</v>
      </c>
      <c r="S67" s="60">
        <f>Eingabe!$C$25+Eingabe!$E$25*'Berechnung Ratierlich 2%'!F67</f>
        <v>39</v>
      </c>
      <c r="T67" s="4">
        <f t="shared" si="31"/>
        <v>-39</v>
      </c>
    </row>
    <row r="68" spans="1:20">
      <c r="A68" s="190">
        <v>58</v>
      </c>
      <c r="B68" s="3">
        <f t="shared" si="19"/>
        <v>0.01</v>
      </c>
      <c r="C68" s="40">
        <f t="shared" si="20"/>
        <v>0</v>
      </c>
      <c r="D68" s="40">
        <f t="shared" si="21"/>
        <v>0</v>
      </c>
      <c r="E68" s="47">
        <f t="shared" si="22"/>
        <v>0</v>
      </c>
      <c r="F68" s="47">
        <f t="shared" si="23"/>
        <v>0</v>
      </c>
      <c r="G68" s="190">
        <f>IF(VLOOKUP(A68,Wechsel!$A$11:$E$31,1)=A68,VLOOKUP(A68,Wechsel!$A$11:$E$31,1),0)</f>
        <v>0</v>
      </c>
      <c r="H68" s="35">
        <f>IF(G68&gt;0,VLOOKUP(A68,Wechsel!$A$11:$E$31,3),H67)</f>
        <v>0</v>
      </c>
      <c r="I68" s="35">
        <f>IF(G68&gt;0,VLOOKUP(A68,Wechsel!$A$11:$E$31,4),I67)</f>
        <v>0</v>
      </c>
      <c r="J68" s="35">
        <f>IF(G68&gt;0,VLOOKUP(A68,Wechsel!$A$11:$E$31,5),J67)</f>
        <v>1</v>
      </c>
      <c r="K68" s="52">
        <f t="shared" si="24"/>
        <v>0</v>
      </c>
      <c r="L68" s="53">
        <f t="shared" si="25"/>
        <v>0</v>
      </c>
      <c r="M68" s="54">
        <f t="shared" si="26"/>
        <v>0</v>
      </c>
      <c r="N68" s="59">
        <f t="shared" si="27"/>
        <v>1</v>
      </c>
      <c r="O68" s="53">
        <f t="shared" si="28"/>
        <v>0</v>
      </c>
      <c r="P68" s="52">
        <f>MAX(P67-Eingabe!$E$28,0)</f>
        <v>0</v>
      </c>
      <c r="Q68" s="60">
        <f t="shared" si="29"/>
        <v>0</v>
      </c>
      <c r="R68" s="60">
        <f t="shared" si="30"/>
        <v>0</v>
      </c>
      <c r="S68" s="60">
        <f>Eingabe!$C$25+Eingabe!$E$25*'Berechnung Ratierlich 2%'!F68</f>
        <v>39</v>
      </c>
      <c r="T68" s="4">
        <f t="shared" si="31"/>
        <v>-39</v>
      </c>
    </row>
    <row r="69" spans="1:20">
      <c r="A69" s="190">
        <v>59</v>
      </c>
      <c r="B69" s="3">
        <f t="shared" si="19"/>
        <v>0.01</v>
      </c>
      <c r="C69" s="40">
        <f t="shared" si="20"/>
        <v>0</v>
      </c>
      <c r="D69" s="40">
        <f t="shared" si="21"/>
        <v>0</v>
      </c>
      <c r="E69" s="47">
        <f t="shared" si="22"/>
        <v>0</v>
      </c>
      <c r="F69" s="47">
        <f t="shared" si="23"/>
        <v>0</v>
      </c>
      <c r="G69" s="190">
        <f>IF(VLOOKUP(A69,Wechsel!$A$11:$E$31,1)=A69,VLOOKUP(A69,Wechsel!$A$11:$E$31,1),0)</f>
        <v>0</v>
      </c>
      <c r="H69" s="35">
        <f>IF(G69&gt;0,VLOOKUP(A69,Wechsel!$A$11:$E$31,3),H68)</f>
        <v>0</v>
      </c>
      <c r="I69" s="35">
        <f>IF(G69&gt;0,VLOOKUP(A69,Wechsel!$A$11:$E$31,4),I68)</f>
        <v>0</v>
      </c>
      <c r="J69" s="35">
        <f>IF(G69&gt;0,VLOOKUP(A69,Wechsel!$A$11:$E$31,5),J68)</f>
        <v>1</v>
      </c>
      <c r="K69" s="52">
        <f t="shared" si="24"/>
        <v>0</v>
      </c>
      <c r="L69" s="53">
        <f t="shared" si="25"/>
        <v>0</v>
      </c>
      <c r="M69" s="54">
        <f t="shared" si="26"/>
        <v>0</v>
      </c>
      <c r="N69" s="59">
        <f t="shared" si="27"/>
        <v>1</v>
      </c>
      <c r="O69" s="53">
        <f t="shared" si="28"/>
        <v>0</v>
      </c>
      <c r="P69" s="52">
        <f>MAX(P68-Eingabe!$E$28,0)</f>
        <v>0</v>
      </c>
      <c r="Q69" s="60">
        <f t="shared" si="29"/>
        <v>0</v>
      </c>
      <c r="R69" s="60">
        <f t="shared" si="30"/>
        <v>0</v>
      </c>
      <c r="S69" s="60">
        <f>Eingabe!$C$25+Eingabe!$E$25*'Berechnung Ratierlich 2%'!F69</f>
        <v>39</v>
      </c>
      <c r="T69" s="4">
        <f t="shared" si="31"/>
        <v>-39</v>
      </c>
    </row>
    <row r="70" spans="1:20">
      <c r="A70" s="190">
        <v>60</v>
      </c>
      <c r="B70" s="3">
        <f t="shared" si="19"/>
        <v>0.01</v>
      </c>
      <c r="C70" s="40">
        <f t="shared" si="20"/>
        <v>0</v>
      </c>
      <c r="D70" s="40">
        <f t="shared" si="21"/>
        <v>0</v>
      </c>
      <c r="E70" s="47">
        <f t="shared" si="22"/>
        <v>0</v>
      </c>
      <c r="F70" s="47">
        <f t="shared" si="23"/>
        <v>0</v>
      </c>
      <c r="G70" s="190">
        <f>IF(VLOOKUP(A70,Wechsel!$A$11:$E$31,1)=A70,VLOOKUP(A70,Wechsel!$A$11:$E$31,1),0)</f>
        <v>0</v>
      </c>
      <c r="H70" s="35">
        <f>IF(G70&gt;0,VLOOKUP(A70,Wechsel!$A$11:$E$31,3),H69)</f>
        <v>0</v>
      </c>
      <c r="I70" s="35">
        <f>IF(G70&gt;0,VLOOKUP(A70,Wechsel!$A$11:$E$31,4),I69)</f>
        <v>0</v>
      </c>
      <c r="J70" s="35">
        <f>IF(G70&gt;0,VLOOKUP(A70,Wechsel!$A$11:$E$31,5),J69)</f>
        <v>1</v>
      </c>
      <c r="K70" s="52">
        <f t="shared" si="24"/>
        <v>0</v>
      </c>
      <c r="L70" s="53">
        <f t="shared" si="25"/>
        <v>0</v>
      </c>
      <c r="M70" s="54">
        <f t="shared" si="26"/>
        <v>0</v>
      </c>
      <c r="N70" s="59">
        <f t="shared" si="27"/>
        <v>1</v>
      </c>
      <c r="O70" s="53">
        <f t="shared" si="28"/>
        <v>0</v>
      </c>
      <c r="P70" s="52">
        <f>MAX(P69-Eingabe!$E$28,0)</f>
        <v>0</v>
      </c>
      <c r="Q70" s="60">
        <f t="shared" si="29"/>
        <v>0</v>
      </c>
      <c r="R70" s="60">
        <f t="shared" si="30"/>
        <v>0</v>
      </c>
      <c r="S70" s="60">
        <f>Eingabe!$C$25+Eingabe!$E$25*'Berechnung Ratierlich 2%'!F70</f>
        <v>39</v>
      </c>
      <c r="T70" s="4">
        <f t="shared" si="31"/>
        <v>-39</v>
      </c>
    </row>
  </sheetData>
  <mergeCells count="3">
    <mergeCell ref="F1:I1"/>
    <mergeCell ref="J1:J2"/>
    <mergeCell ref="J4:Q4"/>
  </mergeCells>
  <conditionalFormatting sqref="H1 H81:H1048576 G11:G80">
    <cfRule type="cellIs" dxfId="4" priority="1" operator="greaterThan">
      <formula>0</formula>
    </cfRule>
  </conditionalFormatting>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7"/>
  <dimension ref="A1:U70"/>
  <sheetViews>
    <sheetView showGridLines="0" zoomScale="85" zoomScaleNormal="85" workbookViewId="0">
      <pane ySplit="9" topLeftCell="A10" activePane="bottomLeft" state="frozen"/>
      <selection pane="bottomLeft" activeCell="A56" sqref="A56:T70"/>
    </sheetView>
  </sheetViews>
  <sheetFormatPr baseColWidth="10" defaultColWidth="11.42578125" defaultRowHeight="15"/>
  <cols>
    <col min="1" max="1" width="11.5703125" style="27" bestFit="1" customWidth="1"/>
    <col min="2" max="2" width="17" style="144" bestFit="1" customWidth="1"/>
    <col min="3" max="3" width="11" style="27" bestFit="1" customWidth="1"/>
    <col min="4" max="4" width="22.5703125" style="27" bestFit="1" customWidth="1"/>
    <col min="5" max="5" width="8" style="27" bestFit="1" customWidth="1"/>
    <col min="6" max="6" width="17" style="27" bestFit="1" customWidth="1"/>
    <col min="7" max="7" width="10.85546875" style="27" bestFit="1" customWidth="1"/>
    <col min="8" max="8" width="17.85546875" style="27" bestFit="1" customWidth="1"/>
    <col min="9" max="9" width="17.5703125" style="27" bestFit="1" customWidth="1"/>
    <col min="10" max="10" width="27.85546875" style="27" bestFit="1" customWidth="1"/>
    <col min="11" max="11" width="16.42578125" style="27" bestFit="1" customWidth="1"/>
    <col min="12" max="12" width="25.7109375" style="27" bestFit="1" customWidth="1"/>
    <col min="13" max="13" width="15.42578125" style="27" bestFit="1" customWidth="1"/>
    <col min="14" max="14" width="13.42578125" style="27" bestFit="1" customWidth="1"/>
    <col min="15" max="15" width="27.140625" style="27" bestFit="1" customWidth="1"/>
    <col min="16" max="16" width="20" style="27" bestFit="1" customWidth="1"/>
    <col min="17" max="17" width="13.7109375" style="60" customWidth="1"/>
    <col min="18" max="18" width="14.7109375" style="27" bestFit="1" customWidth="1"/>
    <col min="19" max="19" width="14.7109375" style="27" customWidth="1"/>
    <col min="20" max="20" width="15" style="27" bestFit="1" customWidth="1"/>
    <col min="21" max="21" width="18.7109375" style="27" bestFit="1" customWidth="1"/>
    <col min="22" max="16384" width="11.42578125" style="27"/>
  </cols>
  <sheetData>
    <row r="1" spans="1:21">
      <c r="A1" s="39" t="s">
        <v>0</v>
      </c>
      <c r="B1" s="5">
        <f>Hilfe!E3-Hilfe!G16</f>
        <v>0.06</v>
      </c>
      <c r="D1" s="3"/>
      <c r="F1" s="298" t="s">
        <v>10</v>
      </c>
      <c r="G1" s="299"/>
      <c r="H1" s="299"/>
      <c r="I1" s="300"/>
      <c r="J1" s="316"/>
      <c r="L1" s="27" t="s">
        <v>19</v>
      </c>
      <c r="M1" s="5">
        <f>MIN(4%,B1)</f>
        <v>0.04</v>
      </c>
      <c r="P1" s="5"/>
    </row>
    <row r="2" spans="1:21">
      <c r="A2" s="39" t="s">
        <v>41</v>
      </c>
      <c r="B2" s="1">
        <f>Eingabe!C10*Hilfe!B4</f>
        <v>0</v>
      </c>
      <c r="D2" s="1"/>
      <c r="F2" s="42"/>
      <c r="G2" s="29" t="s">
        <v>11</v>
      </c>
      <c r="H2" s="29" t="s">
        <v>12</v>
      </c>
      <c r="I2" s="43" t="s">
        <v>31</v>
      </c>
      <c r="J2" s="317"/>
      <c r="L2" s="27" t="s">
        <v>42</v>
      </c>
      <c r="M2" s="5">
        <f>'Berechnung Ratierlich heute'!M2</f>
        <v>0.26374999999999998</v>
      </c>
      <c r="P2" s="3"/>
    </row>
    <row r="3" spans="1:21">
      <c r="A3" s="39" t="s">
        <v>14</v>
      </c>
      <c r="B3" s="27">
        <f>Eingabe!C9</f>
        <v>12</v>
      </c>
      <c r="F3" s="55" t="s">
        <v>10</v>
      </c>
      <c r="G3" s="44">
        <f>Eingabe!C21</f>
        <v>0.01</v>
      </c>
      <c r="H3" s="44">
        <f>Eingabe!E21</f>
        <v>0.01</v>
      </c>
      <c r="I3" s="45">
        <f>Eingabe!G21</f>
        <v>0.01</v>
      </c>
      <c r="J3" s="64"/>
    </row>
    <row r="4" spans="1:21" ht="15.75" thickBot="1">
      <c r="F4" s="56" t="s">
        <v>32</v>
      </c>
      <c r="G4" s="46">
        <f>Eingabe!C22</f>
        <v>0.01</v>
      </c>
      <c r="H4" s="46">
        <f>Eingabe!E22</f>
        <v>0.01</v>
      </c>
      <c r="I4" s="46">
        <f>Eingabe!G22</f>
        <v>0.01</v>
      </c>
      <c r="J4" s="321" t="s">
        <v>48</v>
      </c>
      <c r="K4" s="322"/>
      <c r="L4" s="322"/>
      <c r="M4" s="322"/>
      <c r="N4" s="322"/>
      <c r="O4" s="322"/>
      <c r="P4" s="322"/>
      <c r="Q4" s="322"/>
    </row>
    <row r="5" spans="1:21" ht="15.75" thickBot="1">
      <c r="F5" s="57" t="s">
        <v>6</v>
      </c>
      <c r="G5" s="58">
        <v>0.3</v>
      </c>
      <c r="H5" s="58">
        <v>0.15</v>
      </c>
      <c r="I5" s="58">
        <v>0</v>
      </c>
      <c r="J5" s="66" t="s">
        <v>2</v>
      </c>
      <c r="K5" s="67" t="s">
        <v>47</v>
      </c>
      <c r="L5" s="67" t="s">
        <v>13</v>
      </c>
      <c r="M5" s="67" t="s">
        <v>118</v>
      </c>
      <c r="N5" s="67" t="s">
        <v>17</v>
      </c>
      <c r="O5" s="67" t="s">
        <v>43</v>
      </c>
      <c r="P5" s="67" t="s">
        <v>46</v>
      </c>
      <c r="Q5" s="71" t="s">
        <v>15</v>
      </c>
      <c r="R5" s="60"/>
    </row>
    <row r="6" spans="1:21" ht="15.75" thickBot="1">
      <c r="J6" s="68">
        <f>B3</f>
        <v>12</v>
      </c>
      <c r="K6" s="69">
        <f>MAX(VLOOKUP(J6,A11:AD70,20),0)</f>
        <v>0</v>
      </c>
      <c r="L6" s="69">
        <f>MAX(VLOOKUP(J6,A11:AD60,13),0)</f>
        <v>0</v>
      </c>
      <c r="M6" s="70">
        <f>VLOOKUP(J6,A11:AD60,14)</f>
        <v>1</v>
      </c>
      <c r="N6" s="69">
        <f>(K6-L6)*M6</f>
        <v>0</v>
      </c>
      <c r="O6" s="69">
        <f>VLOOKUP(J6,A11:AD60,12)</f>
        <v>0</v>
      </c>
      <c r="P6" s="69">
        <f>VLOOKUP(J6,A11:AD60,16)</f>
        <v>0</v>
      </c>
      <c r="Q6" s="72">
        <f>K6-(N6-P6-O6)*M2</f>
        <v>0</v>
      </c>
      <c r="R6" s="60"/>
    </row>
    <row r="9" spans="1:21">
      <c r="A9" s="32" t="s">
        <v>2</v>
      </c>
      <c r="B9" s="32" t="s">
        <v>10</v>
      </c>
      <c r="C9" s="32" t="s">
        <v>3</v>
      </c>
      <c r="D9" s="32" t="s">
        <v>45</v>
      </c>
      <c r="E9" s="32" t="s">
        <v>0</v>
      </c>
      <c r="F9" s="32" t="s">
        <v>7</v>
      </c>
      <c r="G9" s="32" t="s">
        <v>8</v>
      </c>
      <c r="H9" s="32" t="s">
        <v>4</v>
      </c>
      <c r="I9" s="32" t="s">
        <v>5</v>
      </c>
      <c r="J9" s="32" t="s">
        <v>31</v>
      </c>
      <c r="K9" s="32" t="s">
        <v>20</v>
      </c>
      <c r="L9" s="32" t="s">
        <v>43</v>
      </c>
      <c r="M9" s="32" t="s">
        <v>13</v>
      </c>
      <c r="N9" s="32" t="s">
        <v>6</v>
      </c>
      <c r="O9" s="32" t="s">
        <v>44</v>
      </c>
      <c r="P9" s="32" t="s">
        <v>46</v>
      </c>
      <c r="Q9" s="61" t="s">
        <v>9</v>
      </c>
      <c r="R9" s="32" t="s">
        <v>18</v>
      </c>
      <c r="S9" s="32" t="s">
        <v>52</v>
      </c>
      <c r="T9" s="32" t="s">
        <v>47</v>
      </c>
      <c r="U9" s="2"/>
    </row>
    <row r="10" spans="1:21">
      <c r="A10" s="51">
        <v>0</v>
      </c>
      <c r="B10" s="51"/>
      <c r="C10" s="2"/>
      <c r="D10" s="2"/>
      <c r="E10" s="2"/>
      <c r="F10" s="2"/>
      <c r="G10" s="2"/>
      <c r="H10" s="3">
        <f>Eingabe!C18</f>
        <v>1</v>
      </c>
      <c r="I10" s="3">
        <f>Eingabe!E18</f>
        <v>0</v>
      </c>
      <c r="J10" s="3">
        <f>Eingabe!G18</f>
        <v>0</v>
      </c>
      <c r="K10" s="3"/>
      <c r="L10" s="3"/>
      <c r="M10" s="3"/>
      <c r="N10" s="3"/>
      <c r="O10" s="3"/>
      <c r="P10" s="2"/>
      <c r="Q10" s="62"/>
      <c r="R10" s="2"/>
      <c r="S10" s="2"/>
      <c r="T10" s="2"/>
      <c r="U10" s="2"/>
    </row>
    <row r="11" spans="1:21">
      <c r="A11" s="27">
        <v>1</v>
      </c>
      <c r="B11" s="3">
        <f>$G$3*H10+$H$3*I10+$I$3*J10</f>
        <v>0.01</v>
      </c>
      <c r="C11" s="40">
        <f t="shared" ref="C11:C42" si="0">IF($B$3&gt;=A11,$B$2,0)/(1+B11)</f>
        <v>0</v>
      </c>
      <c r="D11" s="40">
        <f>C11</f>
        <v>0</v>
      </c>
      <c r="E11" s="47">
        <f>C11*$B$1</f>
        <v>0</v>
      </c>
      <c r="F11" s="47">
        <f>C11+E11</f>
        <v>0</v>
      </c>
      <c r="G11" s="27">
        <f>VLOOKUP(A11,Wechsel!$A$11:$E$31,1)</f>
        <v>0</v>
      </c>
      <c r="H11" s="35">
        <f>IF(G11&gt;0,VLOOKUP(A11,Wechsel!$A$11:$E$31,3),H10)</f>
        <v>1</v>
      </c>
      <c r="I11" s="35">
        <f>IF(G11&gt;0,VLOOKUP(A11,Wechsel!$A$11:$E$31,4),I10)</f>
        <v>0</v>
      </c>
      <c r="J11" s="35">
        <f>IF(G11&gt;0,VLOOKUP(A11,Wechsel!$A$11:$E$31,5),J10)</f>
        <v>0</v>
      </c>
      <c r="K11" s="52">
        <f>D11*$M$1*0.7*0.7*$M$2*H11+D11*$M$1*0.85*0.7*$M$2*I11+D11*$M$1*0.7*$M$2*J11</f>
        <v>0</v>
      </c>
      <c r="L11" s="53">
        <f>K11+L10</f>
        <v>0</v>
      </c>
      <c r="M11" s="54">
        <f>C11</f>
        <v>0</v>
      </c>
      <c r="N11" s="59">
        <f>1-(H11*$G$5+I11*$H$5+J11*$I$5)</f>
        <v>0.7</v>
      </c>
      <c r="O11" s="53">
        <f>IF(G11&gt;0,(F11-M11)*N11,0)</f>
        <v>0</v>
      </c>
      <c r="P11" s="52">
        <f>MAX(Eingabe!C28,0)</f>
        <v>0</v>
      </c>
      <c r="Q11" s="60">
        <f>MAX(0,K11+O11*$M$2-P11-IF(G11&gt;0,-(L10+K11),0))</f>
        <v>0</v>
      </c>
      <c r="R11" s="60">
        <f>MAX(IF(G11&gt;0,(H11*$G$4+I11*$H$4+J11*$I$4)*F11,0),0)</f>
        <v>0</v>
      </c>
      <c r="S11" s="60">
        <f>Eingabe!$C$25+Eingabe!$E$25*'Berechnung Ratierlich 4%'!F11</f>
        <v>39</v>
      </c>
      <c r="T11" s="4">
        <f>F11-Q11-R11-S11</f>
        <v>-39</v>
      </c>
    </row>
    <row r="12" spans="1:21">
      <c r="A12" s="27">
        <v>2</v>
      </c>
      <c r="B12" s="3">
        <f t="shared" ref="B12:B60" si="1">$G$3*H11+$H$3*I11+$I$3*J11</f>
        <v>0.01</v>
      </c>
      <c r="C12" s="40">
        <f t="shared" si="0"/>
        <v>0</v>
      </c>
      <c r="D12" s="40">
        <f t="shared" ref="D12:D43" si="2">MAX(IF(A12&gt;$B$3,0,T11),0)</f>
        <v>0</v>
      </c>
      <c r="E12" s="47">
        <f t="shared" ref="E12:E43" si="3">(C12+D12)*$B$1</f>
        <v>0</v>
      </c>
      <c r="F12" s="47">
        <f t="shared" ref="F12:F43" si="4">IF(A12&gt;$B$3,0,C12+E12+D12)</f>
        <v>0</v>
      </c>
      <c r="G12" s="27">
        <f>IF(VLOOKUP(A12,Wechsel!$A$11:$E$31,1)=A12,VLOOKUP(A12,Wechsel!$A$11:$E$31,1),0)</f>
        <v>0</v>
      </c>
      <c r="H12" s="35">
        <f>IF(G12&gt;0,VLOOKUP(A12,Wechsel!$A$11:$E$31,3),H11)</f>
        <v>1</v>
      </c>
      <c r="I12" s="35">
        <f>IF(G12&gt;0,VLOOKUP(A12,Wechsel!$A$11:$E$31,4),I11)</f>
        <v>0</v>
      </c>
      <c r="J12" s="35">
        <f>IF(G12&gt;0,VLOOKUP(A12,Wechsel!$A$11:$E$31,5),J11)</f>
        <v>0</v>
      </c>
      <c r="K12" s="52">
        <f>D12*$M$1*0.7*0.7*$M$2*H12+D12*$M$1*0.85*0.7*$M$2*I12+D12*$M$1*0.7*$M$2*J12</f>
        <v>0</v>
      </c>
      <c r="L12" s="53">
        <f>IF(G11&gt;0,K12,K12+L11)</f>
        <v>0</v>
      </c>
      <c r="M12" s="54">
        <f t="shared" ref="M12:M43" si="5">IF(A12&gt;$B$3,0,IF(G11&gt;0,T11,C12+M11))</f>
        <v>0</v>
      </c>
      <c r="N12" s="59">
        <f t="shared" ref="N12:N60" si="6">1-(H12*$G$5+I12*$H$5+J12*$I$5)</f>
        <v>0.7</v>
      </c>
      <c r="O12" s="53">
        <f>IF(G12&gt;0,(F12-M12)*N11,0)</f>
        <v>0</v>
      </c>
      <c r="P12" s="52">
        <f>MAX(P11-Eingabe!$E$28,0)</f>
        <v>0</v>
      </c>
      <c r="Q12" s="60">
        <f t="shared" ref="Q12:Q60" si="7">MAX(0,K12+O12*$M$2-P12-IF(G12&gt;0,-(L11+K12),0))</f>
        <v>0</v>
      </c>
      <c r="R12" s="60">
        <f t="shared" ref="R12:R18" si="8">MAX(IF(G12&gt;0,(H12*$G$4+I12*$H$4+J12*$I$4)*(F12-Q12),0),0)</f>
        <v>0</v>
      </c>
      <c r="S12" s="60">
        <f>Eingabe!$C$25+Eingabe!$E$25*'Berechnung Ratierlich 4%'!F12</f>
        <v>39</v>
      </c>
      <c r="T12" s="4">
        <f t="shared" ref="T12:T60" si="9">F12-Q12-R12-S12</f>
        <v>-39</v>
      </c>
    </row>
    <row r="13" spans="1:21">
      <c r="A13" s="27">
        <v>3</v>
      </c>
      <c r="B13" s="3">
        <f t="shared" si="1"/>
        <v>0.01</v>
      </c>
      <c r="C13" s="40">
        <f t="shared" si="0"/>
        <v>0</v>
      </c>
      <c r="D13" s="40">
        <f t="shared" si="2"/>
        <v>0</v>
      </c>
      <c r="E13" s="47">
        <f t="shared" si="3"/>
        <v>0</v>
      </c>
      <c r="F13" s="47">
        <f t="shared" si="4"/>
        <v>0</v>
      </c>
      <c r="G13" s="27">
        <f>IF(VLOOKUP(A13,Wechsel!$A$11:$E$31,1)=A13,VLOOKUP(A13,Wechsel!$A$11:$E$31,1),0)</f>
        <v>3</v>
      </c>
      <c r="H13" s="35">
        <f>IF(G13&gt;0,VLOOKUP(A13,Wechsel!$A$11:$E$31,3),H12)</f>
        <v>0.66666666666666674</v>
      </c>
      <c r="I13" s="35">
        <f>IF(G13&gt;0,VLOOKUP(A13,Wechsel!$A$11:$E$31,4),I12)</f>
        <v>0</v>
      </c>
      <c r="J13" s="35">
        <f>IF(G13&gt;0,VLOOKUP(A13,Wechsel!$A$11:$E$31,5),J12)</f>
        <v>0.33333333333333326</v>
      </c>
      <c r="K13" s="52">
        <f t="shared" ref="K13:K60" si="10">D13*$M$1*0.7*0.7*$M$2*H13+D13*$M$1*0.85*0.7*$M$2*I13+D13*$M$1*0.7*$M$2*J13</f>
        <v>0</v>
      </c>
      <c r="L13" s="53">
        <f t="shared" ref="L13:L60" si="11">IF(G12&gt;0,K13,K13+L12)</f>
        <v>0</v>
      </c>
      <c r="M13" s="54">
        <f t="shared" si="5"/>
        <v>0</v>
      </c>
      <c r="N13" s="59">
        <f t="shared" si="6"/>
        <v>0.8</v>
      </c>
      <c r="O13" s="53">
        <f t="shared" ref="O13:O60" si="12">IF(G13&gt;0,(F13-M13)*N12,0)</f>
        <v>0</v>
      </c>
      <c r="P13" s="52">
        <f>MAX(P12-Eingabe!$E$28,0)</f>
        <v>0</v>
      </c>
      <c r="Q13" s="60">
        <f t="shared" si="7"/>
        <v>0</v>
      </c>
      <c r="R13" s="60">
        <f t="shared" si="8"/>
        <v>0</v>
      </c>
      <c r="S13" s="60">
        <f>Eingabe!$C$25+Eingabe!$E$25*'Berechnung Ratierlich 4%'!F13</f>
        <v>39</v>
      </c>
      <c r="T13" s="4">
        <f t="shared" si="9"/>
        <v>-39</v>
      </c>
    </row>
    <row r="14" spans="1:21">
      <c r="A14" s="27">
        <v>4</v>
      </c>
      <c r="B14" s="3">
        <f t="shared" si="1"/>
        <v>0.01</v>
      </c>
      <c r="C14" s="40">
        <f t="shared" si="0"/>
        <v>0</v>
      </c>
      <c r="D14" s="40">
        <f t="shared" si="2"/>
        <v>0</v>
      </c>
      <c r="E14" s="47">
        <f t="shared" si="3"/>
        <v>0</v>
      </c>
      <c r="F14" s="47">
        <f t="shared" si="4"/>
        <v>0</v>
      </c>
      <c r="G14" s="27">
        <f>IF(VLOOKUP(A14,Wechsel!$A$11:$E$31,1)=A14,VLOOKUP(A14,Wechsel!$A$11:$E$31,1),0)</f>
        <v>0</v>
      </c>
      <c r="H14" s="35">
        <f>IF(G14&gt;0,VLOOKUP(A14,Wechsel!$A$11:$E$31,3),H13)</f>
        <v>0.66666666666666674</v>
      </c>
      <c r="I14" s="35">
        <f>IF(G14&gt;0,VLOOKUP(A14,Wechsel!$A$11:$E$31,4),I13)</f>
        <v>0</v>
      </c>
      <c r="J14" s="35">
        <f>IF(G14&gt;0,VLOOKUP(A14,Wechsel!$A$11:$E$31,5),J13)</f>
        <v>0.33333333333333326</v>
      </c>
      <c r="K14" s="52">
        <f t="shared" si="10"/>
        <v>0</v>
      </c>
      <c r="L14" s="53">
        <f t="shared" si="11"/>
        <v>0</v>
      </c>
      <c r="M14" s="54">
        <f t="shared" si="5"/>
        <v>-39</v>
      </c>
      <c r="N14" s="59">
        <f t="shared" si="6"/>
        <v>0.8</v>
      </c>
      <c r="O14" s="53">
        <f t="shared" si="12"/>
        <v>0</v>
      </c>
      <c r="P14" s="52">
        <f>MAX(P13-Eingabe!$E$28,0)</f>
        <v>0</v>
      </c>
      <c r="Q14" s="60">
        <f t="shared" si="7"/>
        <v>0</v>
      </c>
      <c r="R14" s="60">
        <f t="shared" si="8"/>
        <v>0</v>
      </c>
      <c r="S14" s="60">
        <f>Eingabe!$C$25+Eingabe!$E$25*'Berechnung Ratierlich 4%'!F14</f>
        <v>39</v>
      </c>
      <c r="T14" s="4">
        <f t="shared" si="9"/>
        <v>-39</v>
      </c>
    </row>
    <row r="15" spans="1:21">
      <c r="A15" s="27">
        <v>5</v>
      </c>
      <c r="B15" s="3">
        <f t="shared" si="1"/>
        <v>0.01</v>
      </c>
      <c r="C15" s="40">
        <f t="shared" si="0"/>
        <v>0</v>
      </c>
      <c r="D15" s="40">
        <f t="shared" si="2"/>
        <v>0</v>
      </c>
      <c r="E15" s="47">
        <f t="shared" si="3"/>
        <v>0</v>
      </c>
      <c r="F15" s="47">
        <f t="shared" si="4"/>
        <v>0</v>
      </c>
      <c r="G15" s="27">
        <f>IF(VLOOKUP(A15,Wechsel!$A$11:$E$31,1)=A15,VLOOKUP(A15,Wechsel!$A$11:$E$31,1),0)</f>
        <v>0</v>
      </c>
      <c r="H15" s="35">
        <f>IF(G15&gt;0,VLOOKUP(A15,Wechsel!$A$11:$E$31,3),H14)</f>
        <v>0.66666666666666674</v>
      </c>
      <c r="I15" s="35">
        <f>IF(G15&gt;0,VLOOKUP(A15,Wechsel!$A$11:$E$31,4),I14)</f>
        <v>0</v>
      </c>
      <c r="J15" s="35">
        <f>IF(G15&gt;0,VLOOKUP(A15,Wechsel!$A$11:$E$31,5),J14)</f>
        <v>0.33333333333333326</v>
      </c>
      <c r="K15" s="52">
        <f t="shared" si="10"/>
        <v>0</v>
      </c>
      <c r="L15" s="53">
        <f t="shared" si="11"/>
        <v>0</v>
      </c>
      <c r="M15" s="54">
        <f t="shared" si="5"/>
        <v>-39</v>
      </c>
      <c r="N15" s="59">
        <f t="shared" si="6"/>
        <v>0.8</v>
      </c>
      <c r="O15" s="53">
        <f t="shared" si="12"/>
        <v>0</v>
      </c>
      <c r="P15" s="52">
        <f>MAX(P14-Eingabe!$E$28,0)</f>
        <v>0</v>
      </c>
      <c r="Q15" s="60">
        <f t="shared" si="7"/>
        <v>0</v>
      </c>
      <c r="R15" s="60">
        <f t="shared" si="8"/>
        <v>0</v>
      </c>
      <c r="S15" s="60">
        <f>Eingabe!$C$25+Eingabe!$E$25*'Berechnung Ratierlich 4%'!F15</f>
        <v>39</v>
      </c>
      <c r="T15" s="4">
        <f t="shared" si="9"/>
        <v>-39</v>
      </c>
    </row>
    <row r="16" spans="1:21">
      <c r="A16" s="27">
        <v>6</v>
      </c>
      <c r="B16" s="3">
        <f t="shared" si="1"/>
        <v>0.01</v>
      </c>
      <c r="C16" s="40">
        <f t="shared" si="0"/>
        <v>0</v>
      </c>
      <c r="D16" s="40">
        <f t="shared" si="2"/>
        <v>0</v>
      </c>
      <c r="E16" s="47">
        <f t="shared" si="3"/>
        <v>0</v>
      </c>
      <c r="F16" s="47">
        <f t="shared" si="4"/>
        <v>0</v>
      </c>
      <c r="G16" s="27">
        <f>IF(VLOOKUP(A16,Wechsel!$A$11:$E$31,1)=A16,VLOOKUP(A16,Wechsel!$A$11:$E$31,1),0)</f>
        <v>6</v>
      </c>
      <c r="H16" s="35">
        <f>IF(G16&gt;0,VLOOKUP(A16,Wechsel!$A$11:$E$31,3),H15)</f>
        <v>0.33333333333333343</v>
      </c>
      <c r="I16" s="35">
        <f>IF(G16&gt;0,VLOOKUP(A16,Wechsel!$A$11:$E$31,4),I15)</f>
        <v>0</v>
      </c>
      <c r="J16" s="35">
        <f>IF(G16&gt;0,VLOOKUP(A16,Wechsel!$A$11:$E$31,5),J15)</f>
        <v>0.66666666666666652</v>
      </c>
      <c r="K16" s="52">
        <f t="shared" si="10"/>
        <v>0</v>
      </c>
      <c r="L16" s="53">
        <f t="shared" si="11"/>
        <v>0</v>
      </c>
      <c r="M16" s="54">
        <f t="shared" si="5"/>
        <v>-39</v>
      </c>
      <c r="N16" s="59">
        <f t="shared" si="6"/>
        <v>0.9</v>
      </c>
      <c r="O16" s="53">
        <f t="shared" si="12"/>
        <v>31.200000000000003</v>
      </c>
      <c r="P16" s="52">
        <f>MAX(P15-Eingabe!$E$28,0)</f>
        <v>0</v>
      </c>
      <c r="Q16" s="60">
        <f t="shared" si="7"/>
        <v>8.229000000000001</v>
      </c>
      <c r="R16" s="60">
        <f t="shared" si="8"/>
        <v>0</v>
      </c>
      <c r="S16" s="60">
        <f>Eingabe!$C$25+Eingabe!$E$25*'Berechnung Ratierlich 4%'!F16</f>
        <v>39</v>
      </c>
      <c r="T16" s="4">
        <f t="shared" si="9"/>
        <v>-47.228999999999999</v>
      </c>
    </row>
    <row r="17" spans="1:20">
      <c r="A17" s="27">
        <v>7</v>
      </c>
      <c r="B17" s="3">
        <f t="shared" si="1"/>
        <v>0.01</v>
      </c>
      <c r="C17" s="40">
        <f t="shared" si="0"/>
        <v>0</v>
      </c>
      <c r="D17" s="40">
        <f t="shared" si="2"/>
        <v>0</v>
      </c>
      <c r="E17" s="47">
        <f t="shared" si="3"/>
        <v>0</v>
      </c>
      <c r="F17" s="47">
        <f t="shared" si="4"/>
        <v>0</v>
      </c>
      <c r="G17" s="27">
        <f>IF(VLOOKUP(A17,Wechsel!$A$11:$E$31,1)=A17,VLOOKUP(A17,Wechsel!$A$11:$E$31,1),0)</f>
        <v>0</v>
      </c>
      <c r="H17" s="35">
        <f>IF(G17&gt;0,VLOOKUP(A17,Wechsel!$A$11:$E$31,3),H16)</f>
        <v>0.33333333333333343</v>
      </c>
      <c r="I17" s="35">
        <f>IF(G17&gt;0,VLOOKUP(A17,Wechsel!$A$11:$E$31,4),I16)</f>
        <v>0</v>
      </c>
      <c r="J17" s="35">
        <f>IF(G17&gt;0,VLOOKUP(A17,Wechsel!$A$11:$E$31,5),J16)</f>
        <v>0.66666666666666652</v>
      </c>
      <c r="K17" s="52">
        <f t="shared" si="10"/>
        <v>0</v>
      </c>
      <c r="L17" s="53">
        <f t="shared" si="11"/>
        <v>0</v>
      </c>
      <c r="M17" s="54">
        <f t="shared" si="5"/>
        <v>-47.228999999999999</v>
      </c>
      <c r="N17" s="59">
        <f t="shared" si="6"/>
        <v>0.9</v>
      </c>
      <c r="O17" s="53">
        <f t="shared" si="12"/>
        <v>0</v>
      </c>
      <c r="P17" s="52">
        <f>MAX(P16-Eingabe!$E$28,0)</f>
        <v>0</v>
      </c>
      <c r="Q17" s="60">
        <f t="shared" si="7"/>
        <v>0</v>
      </c>
      <c r="R17" s="60">
        <f t="shared" si="8"/>
        <v>0</v>
      </c>
      <c r="S17" s="60">
        <f>Eingabe!$C$25+Eingabe!$E$25*'Berechnung Ratierlich 4%'!F17</f>
        <v>39</v>
      </c>
      <c r="T17" s="4">
        <f t="shared" si="9"/>
        <v>-39</v>
      </c>
    </row>
    <row r="18" spans="1:20">
      <c r="A18" s="27">
        <v>8</v>
      </c>
      <c r="B18" s="3">
        <f t="shared" si="1"/>
        <v>0.01</v>
      </c>
      <c r="C18" s="40">
        <f t="shared" si="0"/>
        <v>0</v>
      </c>
      <c r="D18" s="40">
        <f t="shared" si="2"/>
        <v>0</v>
      </c>
      <c r="E18" s="47">
        <f t="shared" si="3"/>
        <v>0</v>
      </c>
      <c r="F18" s="47">
        <f t="shared" si="4"/>
        <v>0</v>
      </c>
      <c r="G18" s="27">
        <f>IF(VLOOKUP(A18,Wechsel!$A$11:$E$31,1)=A18,VLOOKUP(A18,Wechsel!$A$11:$E$31,1),0)</f>
        <v>0</v>
      </c>
      <c r="H18" s="35">
        <f>IF(G18&gt;0,VLOOKUP(A18,Wechsel!$A$11:$E$31,3),H17)</f>
        <v>0.33333333333333343</v>
      </c>
      <c r="I18" s="35">
        <f>IF(G18&gt;0,VLOOKUP(A18,Wechsel!$A$11:$E$31,4),I17)</f>
        <v>0</v>
      </c>
      <c r="J18" s="35">
        <f>IF(G18&gt;0,VLOOKUP(A18,Wechsel!$A$11:$E$31,5),J17)</f>
        <v>0.66666666666666652</v>
      </c>
      <c r="K18" s="52">
        <f t="shared" si="10"/>
        <v>0</v>
      </c>
      <c r="L18" s="53">
        <f t="shared" si="11"/>
        <v>0</v>
      </c>
      <c r="M18" s="54">
        <f t="shared" si="5"/>
        <v>-47.228999999999999</v>
      </c>
      <c r="N18" s="59">
        <f t="shared" si="6"/>
        <v>0.9</v>
      </c>
      <c r="O18" s="53">
        <f t="shared" si="12"/>
        <v>0</v>
      </c>
      <c r="P18" s="52">
        <f>MAX(P17-Eingabe!$E$28,0)</f>
        <v>0</v>
      </c>
      <c r="Q18" s="60">
        <f t="shared" si="7"/>
        <v>0</v>
      </c>
      <c r="R18" s="60">
        <f t="shared" si="8"/>
        <v>0</v>
      </c>
      <c r="S18" s="60">
        <f>Eingabe!$C$25+Eingabe!$E$25*'Berechnung Ratierlich 4%'!F18</f>
        <v>39</v>
      </c>
      <c r="T18" s="4">
        <f t="shared" si="9"/>
        <v>-39</v>
      </c>
    </row>
    <row r="19" spans="1:20">
      <c r="A19" s="27">
        <v>9</v>
      </c>
      <c r="B19" s="3">
        <f t="shared" si="1"/>
        <v>0.01</v>
      </c>
      <c r="C19" s="40">
        <f t="shared" si="0"/>
        <v>0</v>
      </c>
      <c r="D19" s="40">
        <f t="shared" si="2"/>
        <v>0</v>
      </c>
      <c r="E19" s="47">
        <f t="shared" si="3"/>
        <v>0</v>
      </c>
      <c r="F19" s="47">
        <f t="shared" si="4"/>
        <v>0</v>
      </c>
      <c r="G19" s="27">
        <f>IF(VLOOKUP(A19,Wechsel!$A$11:$E$31,1)=A19,VLOOKUP(A19,Wechsel!$A$11:$E$31,1),0)</f>
        <v>9</v>
      </c>
      <c r="H19" s="35">
        <f>IF(G19&gt;0,VLOOKUP(A19,Wechsel!$A$11:$E$31,3),H18)</f>
        <v>0</v>
      </c>
      <c r="I19" s="35">
        <f>IF(G19&gt;0,VLOOKUP(A19,Wechsel!$A$11:$E$31,4),I18)</f>
        <v>0</v>
      </c>
      <c r="J19" s="35">
        <f>IF(G19&gt;0,VLOOKUP(A19,Wechsel!$A$11:$E$31,5),J18)</f>
        <v>1</v>
      </c>
      <c r="K19" s="52">
        <f t="shared" si="10"/>
        <v>0</v>
      </c>
      <c r="L19" s="53">
        <f t="shared" si="11"/>
        <v>0</v>
      </c>
      <c r="M19" s="54">
        <f t="shared" si="5"/>
        <v>-47.228999999999999</v>
      </c>
      <c r="N19" s="59">
        <f t="shared" si="6"/>
        <v>1</v>
      </c>
      <c r="O19" s="53">
        <f t="shared" si="12"/>
        <v>42.506100000000004</v>
      </c>
      <c r="P19" s="52">
        <f>MAX(P18-Eingabe!$E$28,0)</f>
        <v>0</v>
      </c>
      <c r="Q19" s="60">
        <f t="shared" si="7"/>
        <v>11.210983875</v>
      </c>
      <c r="R19" s="60">
        <f>MAX(IF(G19&gt;0,(H19*$G$4+I19*$H$4+J19*$I$4)*(F19-Q19),0),0)</f>
        <v>0</v>
      </c>
      <c r="S19" s="60">
        <f>Eingabe!$C$25+Eingabe!$E$25*'Berechnung Ratierlich 4%'!F19</f>
        <v>39</v>
      </c>
      <c r="T19" s="4">
        <f t="shared" si="9"/>
        <v>-50.210983874999997</v>
      </c>
    </row>
    <row r="20" spans="1:20">
      <c r="A20" s="27">
        <v>10</v>
      </c>
      <c r="B20" s="3">
        <f t="shared" si="1"/>
        <v>0.01</v>
      </c>
      <c r="C20" s="40">
        <f t="shared" si="0"/>
        <v>0</v>
      </c>
      <c r="D20" s="40">
        <f t="shared" si="2"/>
        <v>0</v>
      </c>
      <c r="E20" s="47">
        <f t="shared" si="3"/>
        <v>0</v>
      </c>
      <c r="F20" s="47">
        <f t="shared" si="4"/>
        <v>0</v>
      </c>
      <c r="G20" s="27">
        <f>IF(VLOOKUP(A20,Wechsel!$A$11:$E$31,1)=A20,VLOOKUP(A20,Wechsel!$A$11:$E$31,1),0)</f>
        <v>0</v>
      </c>
      <c r="H20" s="35">
        <f>IF(G20&gt;0,VLOOKUP(A20,Wechsel!$A$11:$E$31,3),H19)</f>
        <v>0</v>
      </c>
      <c r="I20" s="35">
        <f>IF(G20&gt;0,VLOOKUP(A20,Wechsel!$A$11:$E$31,4),I19)</f>
        <v>0</v>
      </c>
      <c r="J20" s="35">
        <f>IF(G20&gt;0,VLOOKUP(A20,Wechsel!$A$11:$E$31,5),J19)</f>
        <v>1</v>
      </c>
      <c r="K20" s="52">
        <f t="shared" si="10"/>
        <v>0</v>
      </c>
      <c r="L20" s="53">
        <f t="shared" si="11"/>
        <v>0</v>
      </c>
      <c r="M20" s="54">
        <f t="shared" si="5"/>
        <v>-50.210983874999997</v>
      </c>
      <c r="N20" s="59">
        <f t="shared" si="6"/>
        <v>1</v>
      </c>
      <c r="O20" s="53">
        <f t="shared" si="12"/>
        <v>0</v>
      </c>
      <c r="P20" s="52">
        <f>MAX(P19-Eingabe!$E$28,0)</f>
        <v>0</v>
      </c>
      <c r="Q20" s="60">
        <f t="shared" si="7"/>
        <v>0</v>
      </c>
      <c r="R20" s="60">
        <f t="shared" ref="R20:R60" si="13">MAX(IF(G20&gt;0,(H20*$G$4+I20*$H$4+J20*$I$4)*(F20-Q20),0),0)</f>
        <v>0</v>
      </c>
      <c r="S20" s="60">
        <f>Eingabe!$C$25+Eingabe!$E$25*'Berechnung Ratierlich 4%'!F20</f>
        <v>39</v>
      </c>
      <c r="T20" s="4">
        <f t="shared" si="9"/>
        <v>-39</v>
      </c>
    </row>
    <row r="21" spans="1:20">
      <c r="A21" s="27">
        <v>11</v>
      </c>
      <c r="B21" s="3">
        <f t="shared" si="1"/>
        <v>0.01</v>
      </c>
      <c r="C21" s="40">
        <f t="shared" si="0"/>
        <v>0</v>
      </c>
      <c r="D21" s="40">
        <f t="shared" si="2"/>
        <v>0</v>
      </c>
      <c r="E21" s="47">
        <f t="shared" si="3"/>
        <v>0</v>
      </c>
      <c r="F21" s="47">
        <f t="shared" si="4"/>
        <v>0</v>
      </c>
      <c r="G21" s="27">
        <f>IF(VLOOKUP(A21,Wechsel!$A$11:$E$31,1)=A21,VLOOKUP(A21,Wechsel!$A$11:$E$31,1),0)</f>
        <v>0</v>
      </c>
      <c r="H21" s="35">
        <f>IF(G21&gt;0,VLOOKUP(A21,Wechsel!$A$11:$E$31,3),H20)</f>
        <v>0</v>
      </c>
      <c r="I21" s="35">
        <f>IF(G21&gt;0,VLOOKUP(A21,Wechsel!$A$11:$E$31,4),I20)</f>
        <v>0</v>
      </c>
      <c r="J21" s="35">
        <f>IF(G21&gt;0,VLOOKUP(A21,Wechsel!$A$11:$E$31,5),J20)</f>
        <v>1</v>
      </c>
      <c r="K21" s="52">
        <f t="shared" si="10"/>
        <v>0</v>
      </c>
      <c r="L21" s="53">
        <f t="shared" si="11"/>
        <v>0</v>
      </c>
      <c r="M21" s="54">
        <f t="shared" si="5"/>
        <v>-50.210983874999997</v>
      </c>
      <c r="N21" s="59">
        <f t="shared" si="6"/>
        <v>1</v>
      </c>
      <c r="O21" s="53">
        <f t="shared" si="12"/>
        <v>0</v>
      </c>
      <c r="P21" s="52">
        <f>MAX(P20-Eingabe!$E$28,0)</f>
        <v>0</v>
      </c>
      <c r="Q21" s="60">
        <f t="shared" si="7"/>
        <v>0</v>
      </c>
      <c r="R21" s="60">
        <f t="shared" si="13"/>
        <v>0</v>
      </c>
      <c r="S21" s="60">
        <f>Eingabe!$C$25+Eingabe!$E$25*'Berechnung Ratierlich 4%'!F21</f>
        <v>39</v>
      </c>
      <c r="T21" s="4">
        <f t="shared" si="9"/>
        <v>-39</v>
      </c>
    </row>
    <row r="22" spans="1:20">
      <c r="A22" s="27">
        <v>12</v>
      </c>
      <c r="B22" s="3">
        <f t="shared" si="1"/>
        <v>0.01</v>
      </c>
      <c r="C22" s="40">
        <f t="shared" si="0"/>
        <v>0</v>
      </c>
      <c r="D22" s="40">
        <f t="shared" si="2"/>
        <v>0</v>
      </c>
      <c r="E22" s="47">
        <f t="shared" si="3"/>
        <v>0</v>
      </c>
      <c r="F22" s="47">
        <f t="shared" si="4"/>
        <v>0</v>
      </c>
      <c r="G22" s="27">
        <f>IF(VLOOKUP(A22,Wechsel!$A$11:$E$31,1)=A22,VLOOKUP(A22,Wechsel!$A$11:$E$31,1),0)</f>
        <v>0</v>
      </c>
      <c r="H22" s="35">
        <f>IF(G22&gt;0,VLOOKUP(A22,Wechsel!$A$11:$E$31,3),H21)</f>
        <v>0</v>
      </c>
      <c r="I22" s="35">
        <f>IF(G22&gt;0,VLOOKUP(A22,Wechsel!$A$11:$E$31,4),I21)</f>
        <v>0</v>
      </c>
      <c r="J22" s="35">
        <f>IF(G22&gt;0,VLOOKUP(A22,Wechsel!$A$11:$E$31,5),J21)</f>
        <v>1</v>
      </c>
      <c r="K22" s="52">
        <f t="shared" si="10"/>
        <v>0</v>
      </c>
      <c r="L22" s="53">
        <f t="shared" si="11"/>
        <v>0</v>
      </c>
      <c r="M22" s="54">
        <f t="shared" si="5"/>
        <v>-50.210983874999997</v>
      </c>
      <c r="N22" s="59">
        <f t="shared" si="6"/>
        <v>1</v>
      </c>
      <c r="O22" s="53">
        <f t="shared" si="12"/>
        <v>0</v>
      </c>
      <c r="P22" s="52">
        <f>MAX(P21-Eingabe!$E$28,0)</f>
        <v>0</v>
      </c>
      <c r="Q22" s="60">
        <f t="shared" si="7"/>
        <v>0</v>
      </c>
      <c r="R22" s="60">
        <f t="shared" si="13"/>
        <v>0</v>
      </c>
      <c r="S22" s="60">
        <f>Eingabe!$C$25+Eingabe!$E$25*'Berechnung Ratierlich 4%'!F22</f>
        <v>39</v>
      </c>
      <c r="T22" s="4">
        <f t="shared" si="9"/>
        <v>-39</v>
      </c>
    </row>
    <row r="23" spans="1:20">
      <c r="A23" s="27">
        <v>13</v>
      </c>
      <c r="B23" s="3">
        <f t="shared" si="1"/>
        <v>0.01</v>
      </c>
      <c r="C23" s="40">
        <f t="shared" si="0"/>
        <v>0</v>
      </c>
      <c r="D23" s="40">
        <f t="shared" si="2"/>
        <v>0</v>
      </c>
      <c r="E23" s="47">
        <f t="shared" si="3"/>
        <v>0</v>
      </c>
      <c r="F23" s="47">
        <f t="shared" si="4"/>
        <v>0</v>
      </c>
      <c r="G23" s="27">
        <f>IF(VLOOKUP(A23,Wechsel!$A$11:$E$31,1)=A23,VLOOKUP(A23,Wechsel!$A$11:$E$31,1),0)</f>
        <v>0</v>
      </c>
      <c r="H23" s="35">
        <f>IF(G23&gt;0,VLOOKUP(A23,Wechsel!$A$11:$E$31,3),H22)</f>
        <v>0</v>
      </c>
      <c r="I23" s="35">
        <f>IF(G23&gt;0,VLOOKUP(A23,Wechsel!$A$11:$E$31,4),I22)</f>
        <v>0</v>
      </c>
      <c r="J23" s="35">
        <f>IF(G23&gt;0,VLOOKUP(A23,Wechsel!$A$11:$E$31,5),J22)</f>
        <v>1</v>
      </c>
      <c r="K23" s="52">
        <f t="shared" si="10"/>
        <v>0</v>
      </c>
      <c r="L23" s="53">
        <f t="shared" si="11"/>
        <v>0</v>
      </c>
      <c r="M23" s="54">
        <f t="shared" si="5"/>
        <v>0</v>
      </c>
      <c r="N23" s="59">
        <f t="shared" si="6"/>
        <v>1</v>
      </c>
      <c r="O23" s="53">
        <f t="shared" si="12"/>
        <v>0</v>
      </c>
      <c r="P23" s="52">
        <f>MAX(P22-Eingabe!$E$28,0)</f>
        <v>0</v>
      </c>
      <c r="Q23" s="60">
        <f t="shared" si="7"/>
        <v>0</v>
      </c>
      <c r="R23" s="60">
        <f t="shared" si="13"/>
        <v>0</v>
      </c>
      <c r="S23" s="60">
        <f>Eingabe!$C$25+Eingabe!$E$25*'Berechnung Ratierlich 4%'!F23</f>
        <v>39</v>
      </c>
      <c r="T23" s="4">
        <f t="shared" si="9"/>
        <v>-39</v>
      </c>
    </row>
    <row r="24" spans="1:20">
      <c r="A24" s="27">
        <v>14</v>
      </c>
      <c r="B24" s="3">
        <f t="shared" si="1"/>
        <v>0.01</v>
      </c>
      <c r="C24" s="40">
        <f t="shared" si="0"/>
        <v>0</v>
      </c>
      <c r="D24" s="40">
        <f t="shared" si="2"/>
        <v>0</v>
      </c>
      <c r="E24" s="47">
        <f t="shared" si="3"/>
        <v>0</v>
      </c>
      <c r="F24" s="47">
        <f t="shared" si="4"/>
        <v>0</v>
      </c>
      <c r="G24" s="27">
        <f>IF(VLOOKUP(A24,Wechsel!$A$11:$E$31,1)=A24,VLOOKUP(A24,Wechsel!$A$11:$E$31,1),0)</f>
        <v>0</v>
      </c>
      <c r="H24" s="35">
        <f>IF(G24&gt;0,VLOOKUP(A24,Wechsel!$A$11:$E$31,3),H23)</f>
        <v>0</v>
      </c>
      <c r="I24" s="35">
        <f>IF(G24&gt;0,VLOOKUP(A24,Wechsel!$A$11:$E$31,4),I23)</f>
        <v>0</v>
      </c>
      <c r="J24" s="35">
        <f>IF(G24&gt;0,VLOOKUP(A24,Wechsel!$A$11:$E$31,5),J23)</f>
        <v>1</v>
      </c>
      <c r="K24" s="52">
        <f t="shared" si="10"/>
        <v>0</v>
      </c>
      <c r="L24" s="53">
        <f t="shared" si="11"/>
        <v>0</v>
      </c>
      <c r="M24" s="54">
        <f t="shared" si="5"/>
        <v>0</v>
      </c>
      <c r="N24" s="59">
        <f t="shared" si="6"/>
        <v>1</v>
      </c>
      <c r="O24" s="53">
        <f t="shared" si="12"/>
        <v>0</v>
      </c>
      <c r="P24" s="52">
        <f>MAX(P23-Eingabe!$E$28,0)</f>
        <v>0</v>
      </c>
      <c r="Q24" s="60">
        <f t="shared" si="7"/>
        <v>0</v>
      </c>
      <c r="R24" s="60">
        <f t="shared" si="13"/>
        <v>0</v>
      </c>
      <c r="S24" s="60">
        <f>Eingabe!$C$25+Eingabe!$E$25*'Berechnung Ratierlich 4%'!F24</f>
        <v>39</v>
      </c>
      <c r="T24" s="4">
        <f t="shared" si="9"/>
        <v>-39</v>
      </c>
    </row>
    <row r="25" spans="1:20">
      <c r="A25" s="27">
        <v>15</v>
      </c>
      <c r="B25" s="3">
        <f t="shared" si="1"/>
        <v>0.01</v>
      </c>
      <c r="C25" s="40">
        <f t="shared" si="0"/>
        <v>0</v>
      </c>
      <c r="D25" s="40">
        <f t="shared" si="2"/>
        <v>0</v>
      </c>
      <c r="E25" s="47">
        <f t="shared" si="3"/>
        <v>0</v>
      </c>
      <c r="F25" s="47">
        <f t="shared" si="4"/>
        <v>0</v>
      </c>
      <c r="G25" s="27">
        <f>IF(VLOOKUP(A25,Wechsel!$A$11:$E$31,1)=A25,VLOOKUP(A25,Wechsel!$A$11:$E$31,1),0)</f>
        <v>0</v>
      </c>
      <c r="H25" s="35">
        <f>IF(G25&gt;0,VLOOKUP(A25,Wechsel!$A$11:$E$31,3),H24)</f>
        <v>0</v>
      </c>
      <c r="I25" s="35">
        <f>IF(G25&gt;0,VLOOKUP(A25,Wechsel!$A$11:$E$31,4),I24)</f>
        <v>0</v>
      </c>
      <c r="J25" s="35">
        <f>IF(G25&gt;0,VLOOKUP(A25,Wechsel!$A$11:$E$31,5),J24)</f>
        <v>1</v>
      </c>
      <c r="K25" s="52">
        <f t="shared" si="10"/>
        <v>0</v>
      </c>
      <c r="L25" s="53">
        <f t="shared" si="11"/>
        <v>0</v>
      </c>
      <c r="M25" s="54">
        <f t="shared" si="5"/>
        <v>0</v>
      </c>
      <c r="N25" s="59">
        <f t="shared" si="6"/>
        <v>1</v>
      </c>
      <c r="O25" s="53">
        <f t="shared" si="12"/>
        <v>0</v>
      </c>
      <c r="P25" s="52">
        <f>MAX(P24-Eingabe!$E$28,0)</f>
        <v>0</v>
      </c>
      <c r="Q25" s="60">
        <f t="shared" si="7"/>
        <v>0</v>
      </c>
      <c r="R25" s="60">
        <f t="shared" si="13"/>
        <v>0</v>
      </c>
      <c r="S25" s="60">
        <f>Eingabe!$C$25+Eingabe!$E$25*'Berechnung Ratierlich 4%'!F25</f>
        <v>39</v>
      </c>
      <c r="T25" s="4">
        <f t="shared" si="9"/>
        <v>-39</v>
      </c>
    </row>
    <row r="26" spans="1:20">
      <c r="A26" s="27">
        <v>16</v>
      </c>
      <c r="B26" s="3">
        <f t="shared" si="1"/>
        <v>0.01</v>
      </c>
      <c r="C26" s="40">
        <f t="shared" si="0"/>
        <v>0</v>
      </c>
      <c r="D26" s="40">
        <f t="shared" si="2"/>
        <v>0</v>
      </c>
      <c r="E26" s="47">
        <f t="shared" si="3"/>
        <v>0</v>
      </c>
      <c r="F26" s="47">
        <f t="shared" si="4"/>
        <v>0</v>
      </c>
      <c r="G26" s="27">
        <f>IF(VLOOKUP(A26,Wechsel!$A$11:$E$31,1)=A26,VLOOKUP(A26,Wechsel!$A$11:$E$31,1),0)</f>
        <v>0</v>
      </c>
      <c r="H26" s="35">
        <f>IF(G26&gt;0,VLOOKUP(A26,Wechsel!$A$11:$E$31,3),H25)</f>
        <v>0</v>
      </c>
      <c r="I26" s="35">
        <f>IF(G26&gt;0,VLOOKUP(A26,Wechsel!$A$11:$E$31,4),I25)</f>
        <v>0</v>
      </c>
      <c r="J26" s="35">
        <f>IF(G26&gt;0,VLOOKUP(A26,Wechsel!$A$11:$E$31,5),J25)</f>
        <v>1</v>
      </c>
      <c r="K26" s="52">
        <f t="shared" si="10"/>
        <v>0</v>
      </c>
      <c r="L26" s="53">
        <f t="shared" si="11"/>
        <v>0</v>
      </c>
      <c r="M26" s="54">
        <f t="shared" si="5"/>
        <v>0</v>
      </c>
      <c r="N26" s="59">
        <f t="shared" si="6"/>
        <v>1</v>
      </c>
      <c r="O26" s="53">
        <f t="shared" si="12"/>
        <v>0</v>
      </c>
      <c r="P26" s="52">
        <f>MAX(P25-Eingabe!$E$28,0)</f>
        <v>0</v>
      </c>
      <c r="Q26" s="60">
        <f t="shared" si="7"/>
        <v>0</v>
      </c>
      <c r="R26" s="60">
        <f t="shared" si="13"/>
        <v>0</v>
      </c>
      <c r="S26" s="60">
        <f>Eingabe!$C$25+Eingabe!$E$25*'Berechnung Ratierlich 4%'!F26</f>
        <v>39</v>
      </c>
      <c r="T26" s="4">
        <f t="shared" si="9"/>
        <v>-39</v>
      </c>
    </row>
    <row r="27" spans="1:20">
      <c r="A27" s="27">
        <v>17</v>
      </c>
      <c r="B27" s="3">
        <f t="shared" si="1"/>
        <v>0.01</v>
      </c>
      <c r="C27" s="40">
        <f t="shared" si="0"/>
        <v>0</v>
      </c>
      <c r="D27" s="40">
        <f t="shared" si="2"/>
        <v>0</v>
      </c>
      <c r="E27" s="47">
        <f t="shared" si="3"/>
        <v>0</v>
      </c>
      <c r="F27" s="47">
        <f t="shared" si="4"/>
        <v>0</v>
      </c>
      <c r="G27" s="27">
        <f>IF(VLOOKUP(A27,Wechsel!$A$11:$E$31,1)=A27,VLOOKUP(A27,Wechsel!$A$11:$E$31,1),0)</f>
        <v>0</v>
      </c>
      <c r="H27" s="35">
        <f>IF(G27&gt;0,VLOOKUP(A27,Wechsel!$A$11:$E$31,3),H26)</f>
        <v>0</v>
      </c>
      <c r="I27" s="35">
        <f>IF(G27&gt;0,VLOOKUP(A27,Wechsel!$A$11:$E$31,4),I26)</f>
        <v>0</v>
      </c>
      <c r="J27" s="35">
        <f>IF(G27&gt;0,VLOOKUP(A27,Wechsel!$A$11:$E$31,5),J26)</f>
        <v>1</v>
      </c>
      <c r="K27" s="52">
        <f t="shared" si="10"/>
        <v>0</v>
      </c>
      <c r="L27" s="53">
        <f t="shared" si="11"/>
        <v>0</v>
      </c>
      <c r="M27" s="54">
        <f t="shared" si="5"/>
        <v>0</v>
      </c>
      <c r="N27" s="59">
        <f t="shared" si="6"/>
        <v>1</v>
      </c>
      <c r="O27" s="53">
        <f t="shared" si="12"/>
        <v>0</v>
      </c>
      <c r="P27" s="52">
        <f>MAX(P26-Eingabe!$E$28,0)</f>
        <v>0</v>
      </c>
      <c r="Q27" s="60">
        <f t="shared" si="7"/>
        <v>0</v>
      </c>
      <c r="R27" s="60">
        <f t="shared" si="13"/>
        <v>0</v>
      </c>
      <c r="S27" s="60">
        <f>Eingabe!$C$25+Eingabe!$E$25*'Berechnung Ratierlich 4%'!F27</f>
        <v>39</v>
      </c>
      <c r="T27" s="4">
        <f t="shared" si="9"/>
        <v>-39</v>
      </c>
    </row>
    <row r="28" spans="1:20">
      <c r="A28" s="27">
        <v>18</v>
      </c>
      <c r="B28" s="3">
        <f t="shared" si="1"/>
        <v>0.01</v>
      </c>
      <c r="C28" s="40">
        <f t="shared" si="0"/>
        <v>0</v>
      </c>
      <c r="D28" s="40">
        <f t="shared" si="2"/>
        <v>0</v>
      </c>
      <c r="E28" s="47">
        <f t="shared" si="3"/>
        <v>0</v>
      </c>
      <c r="F28" s="47">
        <f t="shared" si="4"/>
        <v>0</v>
      </c>
      <c r="G28" s="27">
        <f>IF(VLOOKUP(A28,Wechsel!$A$11:$E$31,1)=A28,VLOOKUP(A28,Wechsel!$A$11:$E$31,1),0)</f>
        <v>0</v>
      </c>
      <c r="H28" s="35">
        <f>IF(G28&gt;0,VLOOKUP(A28,Wechsel!$A$11:$E$31,3),H27)</f>
        <v>0</v>
      </c>
      <c r="I28" s="35">
        <f>IF(G28&gt;0,VLOOKUP(A28,Wechsel!$A$11:$E$31,4),I27)</f>
        <v>0</v>
      </c>
      <c r="J28" s="35">
        <f>IF(G28&gt;0,VLOOKUP(A28,Wechsel!$A$11:$E$31,5),J27)</f>
        <v>1</v>
      </c>
      <c r="K28" s="52">
        <f t="shared" si="10"/>
        <v>0</v>
      </c>
      <c r="L28" s="53">
        <f t="shared" si="11"/>
        <v>0</v>
      </c>
      <c r="M28" s="54">
        <f t="shared" si="5"/>
        <v>0</v>
      </c>
      <c r="N28" s="59">
        <f t="shared" si="6"/>
        <v>1</v>
      </c>
      <c r="O28" s="53">
        <f t="shared" si="12"/>
        <v>0</v>
      </c>
      <c r="P28" s="52">
        <f>MAX(P27-Eingabe!$E$28,0)</f>
        <v>0</v>
      </c>
      <c r="Q28" s="60">
        <f t="shared" si="7"/>
        <v>0</v>
      </c>
      <c r="R28" s="60">
        <f t="shared" si="13"/>
        <v>0</v>
      </c>
      <c r="S28" s="60">
        <f>Eingabe!$C$25+Eingabe!$E$25*'Berechnung Ratierlich 4%'!F28</f>
        <v>39</v>
      </c>
      <c r="T28" s="4">
        <f t="shared" si="9"/>
        <v>-39</v>
      </c>
    </row>
    <row r="29" spans="1:20">
      <c r="A29" s="27">
        <v>19</v>
      </c>
      <c r="B29" s="3">
        <f t="shared" si="1"/>
        <v>0.01</v>
      </c>
      <c r="C29" s="40">
        <f t="shared" si="0"/>
        <v>0</v>
      </c>
      <c r="D29" s="40">
        <f t="shared" si="2"/>
        <v>0</v>
      </c>
      <c r="E29" s="47">
        <f t="shared" si="3"/>
        <v>0</v>
      </c>
      <c r="F29" s="47">
        <f t="shared" si="4"/>
        <v>0</v>
      </c>
      <c r="G29" s="27">
        <f>IF(VLOOKUP(A29,Wechsel!$A$11:$E$31,1)=A29,VLOOKUP(A29,Wechsel!$A$11:$E$31,1),0)</f>
        <v>0</v>
      </c>
      <c r="H29" s="35">
        <f>IF(G29&gt;0,VLOOKUP(A29,Wechsel!$A$11:$E$31,3),H28)</f>
        <v>0</v>
      </c>
      <c r="I29" s="35">
        <f>IF(G29&gt;0,VLOOKUP(A29,Wechsel!$A$11:$E$31,4),I28)</f>
        <v>0</v>
      </c>
      <c r="J29" s="35">
        <f>IF(G29&gt;0,VLOOKUP(A29,Wechsel!$A$11:$E$31,5),J28)</f>
        <v>1</v>
      </c>
      <c r="K29" s="52">
        <f t="shared" si="10"/>
        <v>0</v>
      </c>
      <c r="L29" s="53">
        <f t="shared" si="11"/>
        <v>0</v>
      </c>
      <c r="M29" s="54">
        <f t="shared" si="5"/>
        <v>0</v>
      </c>
      <c r="N29" s="59">
        <f t="shared" si="6"/>
        <v>1</v>
      </c>
      <c r="O29" s="53">
        <f t="shared" si="12"/>
        <v>0</v>
      </c>
      <c r="P29" s="52">
        <f>MAX(P28-Eingabe!$E$28,0)</f>
        <v>0</v>
      </c>
      <c r="Q29" s="60">
        <f t="shared" si="7"/>
        <v>0</v>
      </c>
      <c r="R29" s="60">
        <f t="shared" si="13"/>
        <v>0</v>
      </c>
      <c r="S29" s="60">
        <f>Eingabe!$C$25+Eingabe!$E$25*'Berechnung Ratierlich 4%'!F29</f>
        <v>39</v>
      </c>
      <c r="T29" s="4">
        <f t="shared" si="9"/>
        <v>-39</v>
      </c>
    </row>
    <row r="30" spans="1:20">
      <c r="A30" s="27">
        <v>20</v>
      </c>
      <c r="B30" s="3">
        <f t="shared" si="1"/>
        <v>0.01</v>
      </c>
      <c r="C30" s="40">
        <f t="shared" si="0"/>
        <v>0</v>
      </c>
      <c r="D30" s="40">
        <f t="shared" si="2"/>
        <v>0</v>
      </c>
      <c r="E30" s="47">
        <f t="shared" si="3"/>
        <v>0</v>
      </c>
      <c r="F30" s="47">
        <f t="shared" si="4"/>
        <v>0</v>
      </c>
      <c r="G30" s="27">
        <f>IF(VLOOKUP(A30,Wechsel!$A$11:$E$31,1)=A30,VLOOKUP(A30,Wechsel!$A$11:$E$31,1),0)</f>
        <v>0</v>
      </c>
      <c r="H30" s="35">
        <f>IF(G30&gt;0,VLOOKUP(A30,Wechsel!$A$11:$E$31,3),H29)</f>
        <v>0</v>
      </c>
      <c r="I30" s="35">
        <f>IF(G30&gt;0,VLOOKUP(A30,Wechsel!$A$11:$E$31,4),I29)</f>
        <v>0</v>
      </c>
      <c r="J30" s="35">
        <f>IF(G30&gt;0,VLOOKUP(A30,Wechsel!$A$11:$E$31,5),J29)</f>
        <v>1</v>
      </c>
      <c r="K30" s="52">
        <f t="shared" si="10"/>
        <v>0</v>
      </c>
      <c r="L30" s="53">
        <f t="shared" si="11"/>
        <v>0</v>
      </c>
      <c r="M30" s="54">
        <f t="shared" si="5"/>
        <v>0</v>
      </c>
      <c r="N30" s="59">
        <f t="shared" si="6"/>
        <v>1</v>
      </c>
      <c r="O30" s="53">
        <f t="shared" si="12"/>
        <v>0</v>
      </c>
      <c r="P30" s="52">
        <f>MAX(P29-Eingabe!$E$28,0)</f>
        <v>0</v>
      </c>
      <c r="Q30" s="60">
        <f t="shared" si="7"/>
        <v>0</v>
      </c>
      <c r="R30" s="60">
        <f t="shared" si="13"/>
        <v>0</v>
      </c>
      <c r="S30" s="60">
        <f>Eingabe!$C$25+Eingabe!$E$25*'Berechnung Ratierlich 4%'!F30</f>
        <v>39</v>
      </c>
      <c r="T30" s="4">
        <f t="shared" si="9"/>
        <v>-39</v>
      </c>
    </row>
    <row r="31" spans="1:20">
      <c r="A31" s="27">
        <v>21</v>
      </c>
      <c r="B31" s="3">
        <f t="shared" si="1"/>
        <v>0.01</v>
      </c>
      <c r="C31" s="40">
        <f t="shared" si="0"/>
        <v>0</v>
      </c>
      <c r="D31" s="40">
        <f t="shared" si="2"/>
        <v>0</v>
      </c>
      <c r="E31" s="47">
        <f t="shared" si="3"/>
        <v>0</v>
      </c>
      <c r="F31" s="47">
        <f t="shared" si="4"/>
        <v>0</v>
      </c>
      <c r="G31" s="27">
        <f>IF(VLOOKUP(A31,Wechsel!$A$11:$E$31,1)=A31,VLOOKUP(A31,Wechsel!$A$11:$E$31,1),0)</f>
        <v>0</v>
      </c>
      <c r="H31" s="35">
        <f>IF(G31&gt;0,VLOOKUP(A31,Wechsel!$A$11:$E$31,3),H30)</f>
        <v>0</v>
      </c>
      <c r="I31" s="35">
        <f>IF(G31&gt;0,VLOOKUP(A31,Wechsel!$A$11:$E$31,4),I30)</f>
        <v>0</v>
      </c>
      <c r="J31" s="35">
        <f>IF(G31&gt;0,VLOOKUP(A31,Wechsel!$A$11:$E$31,5),J30)</f>
        <v>1</v>
      </c>
      <c r="K31" s="52">
        <f t="shared" si="10"/>
        <v>0</v>
      </c>
      <c r="L31" s="53">
        <f t="shared" si="11"/>
        <v>0</v>
      </c>
      <c r="M31" s="54">
        <f t="shared" si="5"/>
        <v>0</v>
      </c>
      <c r="N31" s="59">
        <f t="shared" si="6"/>
        <v>1</v>
      </c>
      <c r="O31" s="53">
        <f t="shared" si="12"/>
        <v>0</v>
      </c>
      <c r="P31" s="52">
        <f>MAX(P30-Eingabe!$E$28,0)</f>
        <v>0</v>
      </c>
      <c r="Q31" s="60">
        <f t="shared" si="7"/>
        <v>0</v>
      </c>
      <c r="R31" s="60">
        <f t="shared" si="13"/>
        <v>0</v>
      </c>
      <c r="S31" s="60">
        <f>Eingabe!$C$25+Eingabe!$E$25*'Berechnung Ratierlich 4%'!F31</f>
        <v>39</v>
      </c>
      <c r="T31" s="4">
        <f t="shared" si="9"/>
        <v>-39</v>
      </c>
    </row>
    <row r="32" spans="1:20">
      <c r="A32" s="27">
        <v>22</v>
      </c>
      <c r="B32" s="3">
        <f t="shared" si="1"/>
        <v>0.01</v>
      </c>
      <c r="C32" s="40">
        <f t="shared" si="0"/>
        <v>0</v>
      </c>
      <c r="D32" s="40">
        <f t="shared" si="2"/>
        <v>0</v>
      </c>
      <c r="E32" s="47">
        <f t="shared" si="3"/>
        <v>0</v>
      </c>
      <c r="F32" s="47">
        <f t="shared" si="4"/>
        <v>0</v>
      </c>
      <c r="G32" s="27">
        <f>IF(VLOOKUP(A32,Wechsel!$A$11:$E$31,1)=A32,VLOOKUP(A32,Wechsel!$A$11:$E$31,1),0)</f>
        <v>0</v>
      </c>
      <c r="H32" s="35">
        <f>IF(G32&gt;0,VLOOKUP(A32,Wechsel!$A$11:$E$31,3),H31)</f>
        <v>0</v>
      </c>
      <c r="I32" s="35">
        <f>IF(G32&gt;0,VLOOKUP(A32,Wechsel!$A$11:$E$31,4),I31)</f>
        <v>0</v>
      </c>
      <c r="J32" s="35">
        <f>IF(G32&gt;0,VLOOKUP(A32,Wechsel!$A$11:$E$31,5),J31)</f>
        <v>1</v>
      </c>
      <c r="K32" s="52">
        <f t="shared" si="10"/>
        <v>0</v>
      </c>
      <c r="L32" s="53">
        <f t="shared" si="11"/>
        <v>0</v>
      </c>
      <c r="M32" s="54">
        <f t="shared" si="5"/>
        <v>0</v>
      </c>
      <c r="N32" s="59">
        <f t="shared" si="6"/>
        <v>1</v>
      </c>
      <c r="O32" s="53">
        <f t="shared" si="12"/>
        <v>0</v>
      </c>
      <c r="P32" s="52">
        <f>MAX(P31-Eingabe!$E$28,0)</f>
        <v>0</v>
      </c>
      <c r="Q32" s="60">
        <f t="shared" si="7"/>
        <v>0</v>
      </c>
      <c r="R32" s="60">
        <f t="shared" si="13"/>
        <v>0</v>
      </c>
      <c r="S32" s="60">
        <f>Eingabe!$C$25+Eingabe!$E$25*'Berechnung Ratierlich 4%'!F32</f>
        <v>39</v>
      </c>
      <c r="T32" s="4">
        <f t="shared" si="9"/>
        <v>-39</v>
      </c>
    </row>
    <row r="33" spans="1:20">
      <c r="A33" s="27">
        <v>23</v>
      </c>
      <c r="B33" s="3">
        <f t="shared" si="1"/>
        <v>0.01</v>
      </c>
      <c r="C33" s="40">
        <f t="shared" si="0"/>
        <v>0</v>
      </c>
      <c r="D33" s="40">
        <f t="shared" si="2"/>
        <v>0</v>
      </c>
      <c r="E33" s="47">
        <f t="shared" si="3"/>
        <v>0</v>
      </c>
      <c r="F33" s="47">
        <f t="shared" si="4"/>
        <v>0</v>
      </c>
      <c r="G33" s="27">
        <f>IF(VLOOKUP(A33,Wechsel!$A$11:$E$31,1)=A33,VLOOKUP(A33,Wechsel!$A$11:$E$31,1),0)</f>
        <v>0</v>
      </c>
      <c r="H33" s="35">
        <f>IF(G33&gt;0,VLOOKUP(A33,Wechsel!$A$11:$E$31,3),H32)</f>
        <v>0</v>
      </c>
      <c r="I33" s="35">
        <f>IF(G33&gt;0,VLOOKUP(A33,Wechsel!$A$11:$E$31,4),I32)</f>
        <v>0</v>
      </c>
      <c r="J33" s="35">
        <f>IF(G33&gt;0,VLOOKUP(A33,Wechsel!$A$11:$E$31,5),J32)</f>
        <v>1</v>
      </c>
      <c r="K33" s="52">
        <f t="shared" si="10"/>
        <v>0</v>
      </c>
      <c r="L33" s="53">
        <f t="shared" si="11"/>
        <v>0</v>
      </c>
      <c r="M33" s="54">
        <f t="shared" si="5"/>
        <v>0</v>
      </c>
      <c r="N33" s="59">
        <f t="shared" si="6"/>
        <v>1</v>
      </c>
      <c r="O33" s="53">
        <f t="shared" si="12"/>
        <v>0</v>
      </c>
      <c r="P33" s="52">
        <f>MAX(P32-Eingabe!$E$28,0)</f>
        <v>0</v>
      </c>
      <c r="Q33" s="60">
        <f t="shared" si="7"/>
        <v>0</v>
      </c>
      <c r="R33" s="60">
        <f t="shared" si="13"/>
        <v>0</v>
      </c>
      <c r="S33" s="60">
        <f>Eingabe!$C$25+Eingabe!$E$25*'Berechnung Ratierlich 4%'!F33</f>
        <v>39</v>
      </c>
      <c r="T33" s="4">
        <f t="shared" si="9"/>
        <v>-39</v>
      </c>
    </row>
    <row r="34" spans="1:20">
      <c r="A34" s="27">
        <v>24</v>
      </c>
      <c r="B34" s="3">
        <f t="shared" si="1"/>
        <v>0.01</v>
      </c>
      <c r="C34" s="40">
        <f t="shared" si="0"/>
        <v>0</v>
      </c>
      <c r="D34" s="40">
        <f t="shared" si="2"/>
        <v>0</v>
      </c>
      <c r="E34" s="47">
        <f t="shared" si="3"/>
        <v>0</v>
      </c>
      <c r="F34" s="47">
        <f t="shared" si="4"/>
        <v>0</v>
      </c>
      <c r="G34" s="27">
        <f>IF(VLOOKUP(A34,Wechsel!$A$11:$E$31,1)=A34,VLOOKUP(A34,Wechsel!$A$11:$E$31,1),0)</f>
        <v>0</v>
      </c>
      <c r="H34" s="35">
        <f>IF(G34&gt;0,VLOOKUP(A34,Wechsel!$A$11:$E$31,3),H33)</f>
        <v>0</v>
      </c>
      <c r="I34" s="35">
        <f>IF(G34&gt;0,VLOOKUP(A34,Wechsel!$A$11:$E$31,4),I33)</f>
        <v>0</v>
      </c>
      <c r="J34" s="35">
        <f>IF(G34&gt;0,VLOOKUP(A34,Wechsel!$A$11:$E$31,5),J33)</f>
        <v>1</v>
      </c>
      <c r="K34" s="52">
        <f t="shared" si="10"/>
        <v>0</v>
      </c>
      <c r="L34" s="53">
        <f t="shared" si="11"/>
        <v>0</v>
      </c>
      <c r="M34" s="54">
        <f t="shared" si="5"/>
        <v>0</v>
      </c>
      <c r="N34" s="59">
        <f t="shared" si="6"/>
        <v>1</v>
      </c>
      <c r="O34" s="53">
        <f t="shared" si="12"/>
        <v>0</v>
      </c>
      <c r="P34" s="52">
        <f>MAX(P33-Eingabe!$E$28,0)</f>
        <v>0</v>
      </c>
      <c r="Q34" s="60">
        <f t="shared" si="7"/>
        <v>0</v>
      </c>
      <c r="R34" s="60">
        <f t="shared" si="13"/>
        <v>0</v>
      </c>
      <c r="S34" s="60">
        <f>Eingabe!$C$25+Eingabe!$E$25*'Berechnung Ratierlich 4%'!F34</f>
        <v>39</v>
      </c>
      <c r="T34" s="4">
        <f t="shared" si="9"/>
        <v>-39</v>
      </c>
    </row>
    <row r="35" spans="1:20">
      <c r="A35" s="27">
        <v>25</v>
      </c>
      <c r="B35" s="3">
        <f t="shared" si="1"/>
        <v>0.01</v>
      </c>
      <c r="C35" s="40">
        <f t="shared" si="0"/>
        <v>0</v>
      </c>
      <c r="D35" s="40">
        <f t="shared" si="2"/>
        <v>0</v>
      </c>
      <c r="E35" s="47">
        <f t="shared" si="3"/>
        <v>0</v>
      </c>
      <c r="F35" s="47">
        <f t="shared" si="4"/>
        <v>0</v>
      </c>
      <c r="G35" s="27">
        <f>IF(VLOOKUP(A35,Wechsel!$A$11:$E$31,1)=A35,VLOOKUP(A35,Wechsel!$A$11:$E$31,1),0)</f>
        <v>0</v>
      </c>
      <c r="H35" s="35">
        <f>IF(G35&gt;0,VLOOKUP(A35,Wechsel!$A$11:$E$31,3),H34)</f>
        <v>0</v>
      </c>
      <c r="I35" s="35">
        <f>IF(G35&gt;0,VLOOKUP(A35,Wechsel!$A$11:$E$31,4),I34)</f>
        <v>0</v>
      </c>
      <c r="J35" s="35">
        <f>IF(G35&gt;0,VLOOKUP(A35,Wechsel!$A$11:$E$31,5),J34)</f>
        <v>1</v>
      </c>
      <c r="K35" s="52">
        <f t="shared" si="10"/>
        <v>0</v>
      </c>
      <c r="L35" s="53">
        <f t="shared" si="11"/>
        <v>0</v>
      </c>
      <c r="M35" s="54">
        <f t="shared" si="5"/>
        <v>0</v>
      </c>
      <c r="N35" s="59">
        <f t="shared" si="6"/>
        <v>1</v>
      </c>
      <c r="O35" s="53">
        <f t="shared" si="12"/>
        <v>0</v>
      </c>
      <c r="P35" s="52">
        <f>MAX(P34-Eingabe!$E$28,0)</f>
        <v>0</v>
      </c>
      <c r="Q35" s="60">
        <f t="shared" si="7"/>
        <v>0</v>
      </c>
      <c r="R35" s="60">
        <f t="shared" si="13"/>
        <v>0</v>
      </c>
      <c r="S35" s="60">
        <f>Eingabe!$C$25+Eingabe!$E$25*'Berechnung Ratierlich 4%'!F35</f>
        <v>39</v>
      </c>
      <c r="T35" s="4">
        <f t="shared" si="9"/>
        <v>-39</v>
      </c>
    </row>
    <row r="36" spans="1:20">
      <c r="A36" s="27">
        <v>26</v>
      </c>
      <c r="B36" s="3">
        <f t="shared" si="1"/>
        <v>0.01</v>
      </c>
      <c r="C36" s="40">
        <f t="shared" si="0"/>
        <v>0</v>
      </c>
      <c r="D36" s="40">
        <f t="shared" si="2"/>
        <v>0</v>
      </c>
      <c r="E36" s="47">
        <f t="shared" si="3"/>
        <v>0</v>
      </c>
      <c r="F36" s="47">
        <f t="shared" si="4"/>
        <v>0</v>
      </c>
      <c r="G36" s="27">
        <f>IF(VLOOKUP(A36,Wechsel!$A$11:$E$31,1)=A36,VLOOKUP(A36,Wechsel!$A$11:$E$31,1),0)</f>
        <v>0</v>
      </c>
      <c r="H36" s="35">
        <f>IF(G36&gt;0,VLOOKUP(A36,Wechsel!$A$11:$E$31,3),H35)</f>
        <v>0</v>
      </c>
      <c r="I36" s="35">
        <f>IF(G36&gt;0,VLOOKUP(A36,Wechsel!$A$11:$E$31,4),I35)</f>
        <v>0</v>
      </c>
      <c r="J36" s="35">
        <f>IF(G36&gt;0,VLOOKUP(A36,Wechsel!$A$11:$E$31,5),J35)</f>
        <v>1</v>
      </c>
      <c r="K36" s="52">
        <f t="shared" si="10"/>
        <v>0</v>
      </c>
      <c r="L36" s="53">
        <f t="shared" si="11"/>
        <v>0</v>
      </c>
      <c r="M36" s="54">
        <f t="shared" si="5"/>
        <v>0</v>
      </c>
      <c r="N36" s="59">
        <f t="shared" si="6"/>
        <v>1</v>
      </c>
      <c r="O36" s="53">
        <f t="shared" si="12"/>
        <v>0</v>
      </c>
      <c r="P36" s="52">
        <f>MAX(P35-Eingabe!$E$28,0)</f>
        <v>0</v>
      </c>
      <c r="Q36" s="60">
        <f t="shared" si="7"/>
        <v>0</v>
      </c>
      <c r="R36" s="60">
        <f t="shared" si="13"/>
        <v>0</v>
      </c>
      <c r="S36" s="60">
        <f>Eingabe!$C$25+Eingabe!$E$25*'Berechnung Ratierlich 4%'!F36</f>
        <v>39</v>
      </c>
      <c r="T36" s="4">
        <f t="shared" si="9"/>
        <v>-39</v>
      </c>
    </row>
    <row r="37" spans="1:20">
      <c r="A37" s="27">
        <v>27</v>
      </c>
      <c r="B37" s="3">
        <f t="shared" si="1"/>
        <v>0.01</v>
      </c>
      <c r="C37" s="40">
        <f t="shared" si="0"/>
        <v>0</v>
      </c>
      <c r="D37" s="40">
        <f t="shared" si="2"/>
        <v>0</v>
      </c>
      <c r="E37" s="47">
        <f t="shared" si="3"/>
        <v>0</v>
      </c>
      <c r="F37" s="47">
        <f t="shared" si="4"/>
        <v>0</v>
      </c>
      <c r="G37" s="27">
        <f>IF(VLOOKUP(A37,Wechsel!$A$11:$E$31,1)=A37,VLOOKUP(A37,Wechsel!$A$11:$E$31,1),0)</f>
        <v>0</v>
      </c>
      <c r="H37" s="35">
        <f>IF(G37&gt;0,VLOOKUP(A37,Wechsel!$A$11:$E$31,3),H36)</f>
        <v>0</v>
      </c>
      <c r="I37" s="35">
        <f>IF(G37&gt;0,VLOOKUP(A37,Wechsel!$A$11:$E$31,4),I36)</f>
        <v>0</v>
      </c>
      <c r="J37" s="35">
        <f>IF(G37&gt;0,VLOOKUP(A37,Wechsel!$A$11:$E$31,5),J36)</f>
        <v>1</v>
      </c>
      <c r="K37" s="52">
        <f t="shared" si="10"/>
        <v>0</v>
      </c>
      <c r="L37" s="53">
        <f t="shared" si="11"/>
        <v>0</v>
      </c>
      <c r="M37" s="54">
        <f t="shared" si="5"/>
        <v>0</v>
      </c>
      <c r="N37" s="59">
        <f t="shared" si="6"/>
        <v>1</v>
      </c>
      <c r="O37" s="53">
        <f t="shared" si="12"/>
        <v>0</v>
      </c>
      <c r="P37" s="52">
        <f>MAX(P36-Eingabe!$E$28,0)</f>
        <v>0</v>
      </c>
      <c r="Q37" s="60">
        <f t="shared" si="7"/>
        <v>0</v>
      </c>
      <c r="R37" s="60">
        <f t="shared" si="13"/>
        <v>0</v>
      </c>
      <c r="S37" s="60">
        <f>Eingabe!$C$25+Eingabe!$E$25*'Berechnung Ratierlich 4%'!F37</f>
        <v>39</v>
      </c>
      <c r="T37" s="4">
        <f t="shared" si="9"/>
        <v>-39</v>
      </c>
    </row>
    <row r="38" spans="1:20">
      <c r="A38" s="27">
        <v>28</v>
      </c>
      <c r="B38" s="3">
        <f t="shared" si="1"/>
        <v>0.01</v>
      </c>
      <c r="C38" s="40">
        <f t="shared" si="0"/>
        <v>0</v>
      </c>
      <c r="D38" s="40">
        <f t="shared" si="2"/>
        <v>0</v>
      </c>
      <c r="E38" s="47">
        <f t="shared" si="3"/>
        <v>0</v>
      </c>
      <c r="F38" s="47">
        <f t="shared" si="4"/>
        <v>0</v>
      </c>
      <c r="G38" s="27">
        <f>IF(VLOOKUP(A38,Wechsel!$A$11:$E$31,1)=A38,VLOOKUP(A38,Wechsel!$A$11:$E$31,1),0)</f>
        <v>0</v>
      </c>
      <c r="H38" s="35">
        <f>IF(G38&gt;0,VLOOKUP(A38,Wechsel!$A$11:$E$31,3),H37)</f>
        <v>0</v>
      </c>
      <c r="I38" s="35">
        <f>IF(G38&gt;0,VLOOKUP(A38,Wechsel!$A$11:$E$31,4),I37)</f>
        <v>0</v>
      </c>
      <c r="J38" s="35">
        <f>IF(G38&gt;0,VLOOKUP(A38,Wechsel!$A$11:$E$31,5),J37)</f>
        <v>1</v>
      </c>
      <c r="K38" s="52">
        <f t="shared" si="10"/>
        <v>0</v>
      </c>
      <c r="L38" s="53">
        <f t="shared" si="11"/>
        <v>0</v>
      </c>
      <c r="M38" s="54">
        <f t="shared" si="5"/>
        <v>0</v>
      </c>
      <c r="N38" s="59">
        <f t="shared" si="6"/>
        <v>1</v>
      </c>
      <c r="O38" s="53">
        <f t="shared" si="12"/>
        <v>0</v>
      </c>
      <c r="P38" s="52">
        <f>MAX(P37-Eingabe!$E$28,0)</f>
        <v>0</v>
      </c>
      <c r="Q38" s="60">
        <f t="shared" si="7"/>
        <v>0</v>
      </c>
      <c r="R38" s="60">
        <f t="shared" si="13"/>
        <v>0</v>
      </c>
      <c r="S38" s="60">
        <f>Eingabe!$C$25+Eingabe!$E$25*'Berechnung Ratierlich 4%'!F38</f>
        <v>39</v>
      </c>
      <c r="T38" s="4">
        <f t="shared" si="9"/>
        <v>-39</v>
      </c>
    </row>
    <row r="39" spans="1:20">
      <c r="A39" s="27">
        <v>29</v>
      </c>
      <c r="B39" s="3">
        <f t="shared" si="1"/>
        <v>0.01</v>
      </c>
      <c r="C39" s="40">
        <f t="shared" si="0"/>
        <v>0</v>
      </c>
      <c r="D39" s="40">
        <f t="shared" si="2"/>
        <v>0</v>
      </c>
      <c r="E39" s="47">
        <f t="shared" si="3"/>
        <v>0</v>
      </c>
      <c r="F39" s="47">
        <f t="shared" si="4"/>
        <v>0</v>
      </c>
      <c r="G39" s="27">
        <f>IF(VLOOKUP(A39,Wechsel!$A$11:$E$31,1)=A39,VLOOKUP(A39,Wechsel!$A$11:$E$31,1),0)</f>
        <v>0</v>
      </c>
      <c r="H39" s="35">
        <f>IF(G39&gt;0,VLOOKUP(A39,Wechsel!$A$11:$E$31,3),H38)</f>
        <v>0</v>
      </c>
      <c r="I39" s="35">
        <f>IF(G39&gt;0,VLOOKUP(A39,Wechsel!$A$11:$E$31,4),I38)</f>
        <v>0</v>
      </c>
      <c r="J39" s="35">
        <f>IF(G39&gt;0,VLOOKUP(A39,Wechsel!$A$11:$E$31,5),J38)</f>
        <v>1</v>
      </c>
      <c r="K39" s="52">
        <f t="shared" si="10"/>
        <v>0</v>
      </c>
      <c r="L39" s="53">
        <f t="shared" si="11"/>
        <v>0</v>
      </c>
      <c r="M39" s="54">
        <f t="shared" si="5"/>
        <v>0</v>
      </c>
      <c r="N39" s="59">
        <f>1-(H39*$G$5+I39*$H$5+J39*$I$5)</f>
        <v>1</v>
      </c>
      <c r="O39" s="53">
        <f t="shared" si="12"/>
        <v>0</v>
      </c>
      <c r="P39" s="52">
        <f>MAX(P38-Eingabe!$E$28,0)</f>
        <v>0</v>
      </c>
      <c r="Q39" s="60">
        <f t="shared" si="7"/>
        <v>0</v>
      </c>
      <c r="R39" s="60">
        <f t="shared" si="13"/>
        <v>0</v>
      </c>
      <c r="S39" s="60">
        <f>Eingabe!$C$25+Eingabe!$E$25*'Berechnung Ratierlich 4%'!F39</f>
        <v>39</v>
      </c>
      <c r="T39" s="4">
        <f t="shared" si="9"/>
        <v>-39</v>
      </c>
    </row>
    <row r="40" spans="1:20">
      <c r="A40" s="27">
        <v>30</v>
      </c>
      <c r="B40" s="3">
        <f t="shared" si="1"/>
        <v>0.01</v>
      </c>
      <c r="C40" s="40">
        <f t="shared" si="0"/>
        <v>0</v>
      </c>
      <c r="D40" s="40">
        <f t="shared" si="2"/>
        <v>0</v>
      </c>
      <c r="E40" s="47">
        <f t="shared" si="3"/>
        <v>0</v>
      </c>
      <c r="F40" s="47">
        <f t="shared" si="4"/>
        <v>0</v>
      </c>
      <c r="G40" s="27">
        <f>IF(VLOOKUP(A40,Wechsel!$A$11:$E$31,1)=A40,VLOOKUP(A40,Wechsel!$A$11:$E$31,1),0)</f>
        <v>0</v>
      </c>
      <c r="H40" s="35">
        <f>IF(G40&gt;0,VLOOKUP(A40,Wechsel!$A$11:$E$31,3),H39)</f>
        <v>0</v>
      </c>
      <c r="I40" s="35">
        <f>IF(G40&gt;0,VLOOKUP(A40,Wechsel!$A$11:$E$31,4),I39)</f>
        <v>0</v>
      </c>
      <c r="J40" s="35">
        <f>IF(G40&gt;0,VLOOKUP(A40,Wechsel!$A$11:$E$31,5),J39)</f>
        <v>1</v>
      </c>
      <c r="K40" s="52">
        <f t="shared" si="10"/>
        <v>0</v>
      </c>
      <c r="L40" s="53">
        <f t="shared" si="11"/>
        <v>0</v>
      </c>
      <c r="M40" s="54">
        <f t="shared" si="5"/>
        <v>0</v>
      </c>
      <c r="N40" s="59">
        <f t="shared" si="6"/>
        <v>1</v>
      </c>
      <c r="O40" s="53">
        <f t="shared" si="12"/>
        <v>0</v>
      </c>
      <c r="P40" s="52">
        <f>MAX(P39-Eingabe!$E$28,0)</f>
        <v>0</v>
      </c>
      <c r="Q40" s="60">
        <f t="shared" si="7"/>
        <v>0</v>
      </c>
      <c r="R40" s="60">
        <f t="shared" si="13"/>
        <v>0</v>
      </c>
      <c r="S40" s="60">
        <f>Eingabe!$C$25+Eingabe!$E$25*'Berechnung Ratierlich 4%'!F40</f>
        <v>39</v>
      </c>
      <c r="T40" s="4">
        <f t="shared" si="9"/>
        <v>-39</v>
      </c>
    </row>
    <row r="41" spans="1:20">
      <c r="A41" s="27">
        <v>31</v>
      </c>
      <c r="B41" s="3">
        <f t="shared" si="1"/>
        <v>0.01</v>
      </c>
      <c r="C41" s="40">
        <f t="shared" si="0"/>
        <v>0</v>
      </c>
      <c r="D41" s="40">
        <f t="shared" si="2"/>
        <v>0</v>
      </c>
      <c r="E41" s="47">
        <f t="shared" si="3"/>
        <v>0</v>
      </c>
      <c r="F41" s="47">
        <f t="shared" si="4"/>
        <v>0</v>
      </c>
      <c r="G41" s="27">
        <f>IF(VLOOKUP(A41,Wechsel!$A$11:$E$31,1)=A41,VLOOKUP(A41,Wechsel!$A$11:$E$31,1),0)</f>
        <v>0</v>
      </c>
      <c r="H41" s="35">
        <f>IF(G41&gt;0,VLOOKUP(A41,Wechsel!$A$11:$E$31,3),H40)</f>
        <v>0</v>
      </c>
      <c r="I41" s="35">
        <f>IF(G41&gt;0,VLOOKUP(A41,Wechsel!$A$11:$E$31,4),I40)</f>
        <v>0</v>
      </c>
      <c r="J41" s="35">
        <f>IF(G41&gt;0,VLOOKUP(A41,Wechsel!$A$11:$E$31,5),J40)</f>
        <v>1</v>
      </c>
      <c r="K41" s="52">
        <f t="shared" si="10"/>
        <v>0</v>
      </c>
      <c r="L41" s="53">
        <f t="shared" si="11"/>
        <v>0</v>
      </c>
      <c r="M41" s="54">
        <f t="shared" si="5"/>
        <v>0</v>
      </c>
      <c r="N41" s="59">
        <f t="shared" si="6"/>
        <v>1</v>
      </c>
      <c r="O41" s="53">
        <f t="shared" si="12"/>
        <v>0</v>
      </c>
      <c r="P41" s="52">
        <f>MAX(P40-Eingabe!$E$28,0)</f>
        <v>0</v>
      </c>
      <c r="Q41" s="60">
        <f t="shared" si="7"/>
        <v>0</v>
      </c>
      <c r="R41" s="60">
        <f t="shared" si="13"/>
        <v>0</v>
      </c>
      <c r="S41" s="60">
        <f>Eingabe!$C$25+Eingabe!$E$25*'Berechnung Ratierlich 4%'!F41</f>
        <v>39</v>
      </c>
      <c r="T41" s="4">
        <f t="shared" si="9"/>
        <v>-39</v>
      </c>
    </row>
    <row r="42" spans="1:20">
      <c r="A42" s="27">
        <v>32</v>
      </c>
      <c r="B42" s="3">
        <f t="shared" si="1"/>
        <v>0.01</v>
      </c>
      <c r="C42" s="40">
        <f t="shared" si="0"/>
        <v>0</v>
      </c>
      <c r="D42" s="40">
        <f t="shared" si="2"/>
        <v>0</v>
      </c>
      <c r="E42" s="47">
        <f t="shared" si="3"/>
        <v>0</v>
      </c>
      <c r="F42" s="47">
        <f t="shared" si="4"/>
        <v>0</v>
      </c>
      <c r="G42" s="27">
        <f>IF(VLOOKUP(A42,Wechsel!$A$11:$E$31,1)=A42,VLOOKUP(A42,Wechsel!$A$11:$E$31,1),0)</f>
        <v>0</v>
      </c>
      <c r="H42" s="35">
        <f>IF(G42&gt;0,VLOOKUP(A42,Wechsel!$A$11:$E$31,3),H41)</f>
        <v>0</v>
      </c>
      <c r="I42" s="35">
        <f>IF(G42&gt;0,VLOOKUP(A42,Wechsel!$A$11:$E$31,4),I41)</f>
        <v>0</v>
      </c>
      <c r="J42" s="35">
        <f>IF(G42&gt;0,VLOOKUP(A42,Wechsel!$A$11:$E$31,5),J41)</f>
        <v>1</v>
      </c>
      <c r="K42" s="52">
        <f t="shared" si="10"/>
        <v>0</v>
      </c>
      <c r="L42" s="53">
        <f t="shared" si="11"/>
        <v>0</v>
      </c>
      <c r="M42" s="54">
        <f t="shared" si="5"/>
        <v>0</v>
      </c>
      <c r="N42" s="59">
        <f t="shared" si="6"/>
        <v>1</v>
      </c>
      <c r="O42" s="53">
        <f t="shared" si="12"/>
        <v>0</v>
      </c>
      <c r="P42" s="52">
        <f>MAX(P41-Eingabe!$E$28,0)</f>
        <v>0</v>
      </c>
      <c r="Q42" s="60">
        <f t="shared" si="7"/>
        <v>0</v>
      </c>
      <c r="R42" s="60">
        <f t="shared" si="13"/>
        <v>0</v>
      </c>
      <c r="S42" s="60">
        <f>Eingabe!$C$25+Eingabe!$E$25*'Berechnung Ratierlich 4%'!F42</f>
        <v>39</v>
      </c>
      <c r="T42" s="4">
        <f t="shared" si="9"/>
        <v>-39</v>
      </c>
    </row>
    <row r="43" spans="1:20">
      <c r="A43" s="27">
        <v>33</v>
      </c>
      <c r="B43" s="3">
        <f t="shared" si="1"/>
        <v>0.01</v>
      </c>
      <c r="C43" s="40">
        <f t="shared" ref="C43:C60" si="14">IF($B$3&gt;=A43,$B$2,0)/(1+B43)</f>
        <v>0</v>
      </c>
      <c r="D43" s="40">
        <f t="shared" si="2"/>
        <v>0</v>
      </c>
      <c r="E43" s="47">
        <f t="shared" si="3"/>
        <v>0</v>
      </c>
      <c r="F43" s="47">
        <f t="shared" si="4"/>
        <v>0</v>
      </c>
      <c r="G43" s="27">
        <f>IF(VLOOKUP(A43,Wechsel!$A$11:$E$31,1)=A43,VLOOKUP(A43,Wechsel!$A$11:$E$31,1),0)</f>
        <v>0</v>
      </c>
      <c r="H43" s="35">
        <f>IF(G43&gt;0,VLOOKUP(A43,Wechsel!$A$11:$E$31,3),H42)</f>
        <v>0</v>
      </c>
      <c r="I43" s="35">
        <f>IF(G43&gt;0,VLOOKUP(A43,Wechsel!$A$11:$E$31,4),I42)</f>
        <v>0</v>
      </c>
      <c r="J43" s="35">
        <f>IF(G43&gt;0,VLOOKUP(A43,Wechsel!$A$11:$E$31,5),J42)</f>
        <v>1</v>
      </c>
      <c r="K43" s="52">
        <f t="shared" si="10"/>
        <v>0</v>
      </c>
      <c r="L43" s="53">
        <f t="shared" si="11"/>
        <v>0</v>
      </c>
      <c r="M43" s="54">
        <f t="shared" si="5"/>
        <v>0</v>
      </c>
      <c r="N43" s="59">
        <f t="shared" si="6"/>
        <v>1</v>
      </c>
      <c r="O43" s="53">
        <f t="shared" si="12"/>
        <v>0</v>
      </c>
      <c r="P43" s="52">
        <f>MAX(P42-Eingabe!$E$28,0)</f>
        <v>0</v>
      </c>
      <c r="Q43" s="60">
        <f t="shared" si="7"/>
        <v>0</v>
      </c>
      <c r="R43" s="60">
        <f t="shared" si="13"/>
        <v>0</v>
      </c>
      <c r="S43" s="60">
        <f>Eingabe!$C$25+Eingabe!$E$25*'Berechnung Ratierlich 4%'!F43</f>
        <v>39</v>
      </c>
      <c r="T43" s="4">
        <f t="shared" si="9"/>
        <v>-39</v>
      </c>
    </row>
    <row r="44" spans="1:20">
      <c r="A44" s="27">
        <v>34</v>
      </c>
      <c r="B44" s="3">
        <f t="shared" si="1"/>
        <v>0.01</v>
      </c>
      <c r="C44" s="40">
        <f t="shared" si="14"/>
        <v>0</v>
      </c>
      <c r="D44" s="40">
        <f t="shared" ref="D44:D60" si="15">MAX(IF(A44&gt;$B$3,0,T43),0)</f>
        <v>0</v>
      </c>
      <c r="E44" s="47">
        <f t="shared" ref="E44:E60" si="16">(C44+D44)*$B$1</f>
        <v>0</v>
      </c>
      <c r="F44" s="47">
        <f t="shared" ref="F44:F60" si="17">IF(A44&gt;$B$3,0,C44+E44+D44)</f>
        <v>0</v>
      </c>
      <c r="G44" s="27">
        <f>IF(VLOOKUP(A44,Wechsel!$A$11:$E$31,1)=A44,VLOOKUP(A44,Wechsel!$A$11:$E$31,1),0)</f>
        <v>0</v>
      </c>
      <c r="H44" s="35">
        <f>IF(G44&gt;0,VLOOKUP(A44,Wechsel!$A$11:$E$31,3),H43)</f>
        <v>0</v>
      </c>
      <c r="I44" s="35">
        <f>IF(G44&gt;0,VLOOKUP(A44,Wechsel!$A$11:$E$31,4),I43)</f>
        <v>0</v>
      </c>
      <c r="J44" s="35">
        <f>IF(G44&gt;0,VLOOKUP(A44,Wechsel!$A$11:$E$31,5),J43)</f>
        <v>1</v>
      </c>
      <c r="K44" s="52">
        <f t="shared" si="10"/>
        <v>0</v>
      </c>
      <c r="L44" s="53">
        <f t="shared" si="11"/>
        <v>0</v>
      </c>
      <c r="M44" s="54">
        <f t="shared" ref="M44:M60" si="18">IF(A44&gt;$B$3,0,IF(G43&gt;0,T43,C44+M43))</f>
        <v>0</v>
      </c>
      <c r="N44" s="59">
        <f t="shared" si="6"/>
        <v>1</v>
      </c>
      <c r="O44" s="53">
        <f t="shared" si="12"/>
        <v>0</v>
      </c>
      <c r="P44" s="52">
        <f>MAX(P43-Eingabe!$E$28,0)</f>
        <v>0</v>
      </c>
      <c r="Q44" s="60">
        <f t="shared" si="7"/>
        <v>0</v>
      </c>
      <c r="R44" s="60">
        <f t="shared" si="13"/>
        <v>0</v>
      </c>
      <c r="S44" s="60">
        <f>Eingabe!$C$25+Eingabe!$E$25*'Berechnung Ratierlich 4%'!F44</f>
        <v>39</v>
      </c>
      <c r="T44" s="4">
        <f t="shared" si="9"/>
        <v>-39</v>
      </c>
    </row>
    <row r="45" spans="1:20">
      <c r="A45" s="27">
        <v>35</v>
      </c>
      <c r="B45" s="3">
        <f t="shared" si="1"/>
        <v>0.01</v>
      </c>
      <c r="C45" s="40">
        <f t="shared" si="14"/>
        <v>0</v>
      </c>
      <c r="D45" s="40">
        <f t="shared" si="15"/>
        <v>0</v>
      </c>
      <c r="E45" s="47">
        <f t="shared" si="16"/>
        <v>0</v>
      </c>
      <c r="F45" s="47">
        <f t="shared" si="17"/>
        <v>0</v>
      </c>
      <c r="G45" s="27">
        <f>IF(VLOOKUP(A45,Wechsel!$A$11:$E$31,1)=A45,VLOOKUP(A45,Wechsel!$A$11:$E$31,1),0)</f>
        <v>0</v>
      </c>
      <c r="H45" s="35">
        <f>IF(G45&gt;0,VLOOKUP(A45,Wechsel!$A$11:$E$31,3),H44)</f>
        <v>0</v>
      </c>
      <c r="I45" s="35">
        <f>IF(G45&gt;0,VLOOKUP(A45,Wechsel!$A$11:$E$31,4),I44)</f>
        <v>0</v>
      </c>
      <c r="J45" s="35">
        <f>IF(G45&gt;0,VLOOKUP(A45,Wechsel!$A$11:$E$31,5),J44)</f>
        <v>1</v>
      </c>
      <c r="K45" s="52">
        <f t="shared" si="10"/>
        <v>0</v>
      </c>
      <c r="L45" s="53">
        <f t="shared" si="11"/>
        <v>0</v>
      </c>
      <c r="M45" s="54">
        <f t="shared" si="18"/>
        <v>0</v>
      </c>
      <c r="N45" s="59">
        <f t="shared" si="6"/>
        <v>1</v>
      </c>
      <c r="O45" s="53">
        <f t="shared" si="12"/>
        <v>0</v>
      </c>
      <c r="P45" s="52">
        <f>MAX(P44-Eingabe!$E$28,0)</f>
        <v>0</v>
      </c>
      <c r="Q45" s="60">
        <f t="shared" si="7"/>
        <v>0</v>
      </c>
      <c r="R45" s="60">
        <f t="shared" si="13"/>
        <v>0</v>
      </c>
      <c r="S45" s="60">
        <f>Eingabe!$C$25+Eingabe!$E$25*'Berechnung Ratierlich 4%'!F45</f>
        <v>39</v>
      </c>
      <c r="T45" s="4">
        <f t="shared" si="9"/>
        <v>-39</v>
      </c>
    </row>
    <row r="46" spans="1:20">
      <c r="A46" s="27">
        <v>36</v>
      </c>
      <c r="B46" s="3">
        <f t="shared" si="1"/>
        <v>0.01</v>
      </c>
      <c r="C46" s="40">
        <f t="shared" si="14"/>
        <v>0</v>
      </c>
      <c r="D46" s="40">
        <f t="shared" si="15"/>
        <v>0</v>
      </c>
      <c r="E46" s="47">
        <f t="shared" si="16"/>
        <v>0</v>
      </c>
      <c r="F46" s="47">
        <f t="shared" si="17"/>
        <v>0</v>
      </c>
      <c r="G46" s="27">
        <f>IF(VLOOKUP(A46,Wechsel!$A$11:$E$31,1)=A46,VLOOKUP(A46,Wechsel!$A$11:$E$31,1),0)</f>
        <v>0</v>
      </c>
      <c r="H46" s="35">
        <f>IF(G46&gt;0,VLOOKUP(A46,Wechsel!$A$11:$E$31,3),H45)</f>
        <v>0</v>
      </c>
      <c r="I46" s="35">
        <f>IF(G46&gt;0,VLOOKUP(A46,Wechsel!$A$11:$E$31,4),I45)</f>
        <v>0</v>
      </c>
      <c r="J46" s="35">
        <f>IF(G46&gt;0,VLOOKUP(A46,Wechsel!$A$11:$E$31,5),J45)</f>
        <v>1</v>
      </c>
      <c r="K46" s="52">
        <f t="shared" si="10"/>
        <v>0</v>
      </c>
      <c r="L46" s="53">
        <f t="shared" si="11"/>
        <v>0</v>
      </c>
      <c r="M46" s="54">
        <f t="shared" si="18"/>
        <v>0</v>
      </c>
      <c r="N46" s="59">
        <f t="shared" si="6"/>
        <v>1</v>
      </c>
      <c r="O46" s="53">
        <f t="shared" si="12"/>
        <v>0</v>
      </c>
      <c r="P46" s="52">
        <f>MAX(P45-Eingabe!$E$28,0)</f>
        <v>0</v>
      </c>
      <c r="Q46" s="60">
        <f t="shared" si="7"/>
        <v>0</v>
      </c>
      <c r="R46" s="60">
        <f t="shared" si="13"/>
        <v>0</v>
      </c>
      <c r="S46" s="60">
        <f>Eingabe!$C$25+Eingabe!$E$25*'Berechnung Ratierlich 4%'!F46</f>
        <v>39</v>
      </c>
      <c r="T46" s="4">
        <f t="shared" si="9"/>
        <v>-39</v>
      </c>
    </row>
    <row r="47" spans="1:20">
      <c r="A47" s="27">
        <v>37</v>
      </c>
      <c r="B47" s="3">
        <f t="shared" si="1"/>
        <v>0.01</v>
      </c>
      <c r="C47" s="40">
        <f t="shared" si="14"/>
        <v>0</v>
      </c>
      <c r="D47" s="40">
        <f t="shared" si="15"/>
        <v>0</v>
      </c>
      <c r="E47" s="47">
        <f t="shared" si="16"/>
        <v>0</v>
      </c>
      <c r="F47" s="47">
        <f t="shared" si="17"/>
        <v>0</v>
      </c>
      <c r="G47" s="27">
        <f>IF(VLOOKUP(A47,Wechsel!$A$11:$E$31,1)=A47,VLOOKUP(A47,Wechsel!$A$11:$E$31,1),0)</f>
        <v>0</v>
      </c>
      <c r="H47" s="35">
        <f>IF(G47&gt;0,VLOOKUP(A47,Wechsel!$A$11:$E$31,3),H46)</f>
        <v>0</v>
      </c>
      <c r="I47" s="35">
        <f>IF(G47&gt;0,VLOOKUP(A47,Wechsel!$A$11:$E$31,4),I46)</f>
        <v>0</v>
      </c>
      <c r="J47" s="35">
        <f>IF(G47&gt;0,VLOOKUP(A47,Wechsel!$A$11:$E$31,5),J46)</f>
        <v>1</v>
      </c>
      <c r="K47" s="52">
        <f t="shared" si="10"/>
        <v>0</v>
      </c>
      <c r="L47" s="53">
        <f t="shared" si="11"/>
        <v>0</v>
      </c>
      <c r="M47" s="54">
        <f t="shared" si="18"/>
        <v>0</v>
      </c>
      <c r="N47" s="59">
        <f t="shared" si="6"/>
        <v>1</v>
      </c>
      <c r="O47" s="53">
        <f t="shared" si="12"/>
        <v>0</v>
      </c>
      <c r="P47" s="52">
        <f>MAX(P46-Eingabe!$E$28,0)</f>
        <v>0</v>
      </c>
      <c r="Q47" s="60">
        <f t="shared" si="7"/>
        <v>0</v>
      </c>
      <c r="R47" s="60">
        <f t="shared" si="13"/>
        <v>0</v>
      </c>
      <c r="S47" s="60">
        <f>Eingabe!$C$25+Eingabe!$E$25*'Berechnung Ratierlich 4%'!F47</f>
        <v>39</v>
      </c>
      <c r="T47" s="4">
        <f t="shared" si="9"/>
        <v>-39</v>
      </c>
    </row>
    <row r="48" spans="1:20">
      <c r="A48" s="27">
        <v>38</v>
      </c>
      <c r="B48" s="3">
        <f t="shared" si="1"/>
        <v>0.01</v>
      </c>
      <c r="C48" s="40">
        <f t="shared" si="14"/>
        <v>0</v>
      </c>
      <c r="D48" s="40">
        <f t="shared" si="15"/>
        <v>0</v>
      </c>
      <c r="E48" s="47">
        <f t="shared" si="16"/>
        <v>0</v>
      </c>
      <c r="F48" s="47">
        <f t="shared" si="17"/>
        <v>0</v>
      </c>
      <c r="G48" s="27">
        <f>IF(VLOOKUP(A48,Wechsel!$A$11:$E$31,1)=A48,VLOOKUP(A48,Wechsel!$A$11:$E$31,1),0)</f>
        <v>0</v>
      </c>
      <c r="H48" s="35">
        <f>IF(G48&gt;0,VLOOKUP(A48,Wechsel!$A$11:$E$31,3),H47)</f>
        <v>0</v>
      </c>
      <c r="I48" s="35">
        <f>IF(G48&gt;0,VLOOKUP(A48,Wechsel!$A$11:$E$31,4),I47)</f>
        <v>0</v>
      </c>
      <c r="J48" s="35">
        <f>IF(G48&gt;0,VLOOKUP(A48,Wechsel!$A$11:$E$31,5),J47)</f>
        <v>1</v>
      </c>
      <c r="K48" s="52">
        <f t="shared" si="10"/>
        <v>0</v>
      </c>
      <c r="L48" s="53">
        <f t="shared" si="11"/>
        <v>0</v>
      </c>
      <c r="M48" s="54">
        <f t="shared" si="18"/>
        <v>0</v>
      </c>
      <c r="N48" s="59">
        <f t="shared" si="6"/>
        <v>1</v>
      </c>
      <c r="O48" s="53">
        <f t="shared" si="12"/>
        <v>0</v>
      </c>
      <c r="P48" s="52">
        <f>MAX(P47-Eingabe!$E$28,0)</f>
        <v>0</v>
      </c>
      <c r="Q48" s="60">
        <f t="shared" si="7"/>
        <v>0</v>
      </c>
      <c r="R48" s="60">
        <f t="shared" si="13"/>
        <v>0</v>
      </c>
      <c r="S48" s="60">
        <f>Eingabe!$C$25+Eingabe!$E$25*'Berechnung Ratierlich 4%'!F48</f>
        <v>39</v>
      </c>
      <c r="T48" s="4">
        <f t="shared" si="9"/>
        <v>-39</v>
      </c>
    </row>
    <row r="49" spans="1:20">
      <c r="A49" s="27">
        <v>39</v>
      </c>
      <c r="B49" s="3">
        <f t="shared" si="1"/>
        <v>0.01</v>
      </c>
      <c r="C49" s="40">
        <f t="shared" si="14"/>
        <v>0</v>
      </c>
      <c r="D49" s="40">
        <f t="shared" si="15"/>
        <v>0</v>
      </c>
      <c r="E49" s="47">
        <f t="shared" si="16"/>
        <v>0</v>
      </c>
      <c r="F49" s="47">
        <f t="shared" si="17"/>
        <v>0</v>
      </c>
      <c r="G49" s="27">
        <f>IF(VLOOKUP(A49,Wechsel!$A$11:$E$31,1)=A49,VLOOKUP(A49,Wechsel!$A$11:$E$31,1),0)</f>
        <v>0</v>
      </c>
      <c r="H49" s="35">
        <f>IF(G49&gt;0,VLOOKUP(A49,Wechsel!$A$11:$E$31,3),H48)</f>
        <v>0</v>
      </c>
      <c r="I49" s="35">
        <f>IF(G49&gt;0,VLOOKUP(A49,Wechsel!$A$11:$E$31,4),I48)</f>
        <v>0</v>
      </c>
      <c r="J49" s="35">
        <f>IF(G49&gt;0,VLOOKUP(A49,Wechsel!$A$11:$E$31,5),J48)</f>
        <v>1</v>
      </c>
      <c r="K49" s="52">
        <f t="shared" si="10"/>
        <v>0</v>
      </c>
      <c r="L49" s="53">
        <f t="shared" si="11"/>
        <v>0</v>
      </c>
      <c r="M49" s="54">
        <f t="shared" si="18"/>
        <v>0</v>
      </c>
      <c r="N49" s="59">
        <f t="shared" si="6"/>
        <v>1</v>
      </c>
      <c r="O49" s="53">
        <f t="shared" si="12"/>
        <v>0</v>
      </c>
      <c r="P49" s="52">
        <f>MAX(P48-Eingabe!$E$28,0)</f>
        <v>0</v>
      </c>
      <c r="Q49" s="60">
        <f t="shared" si="7"/>
        <v>0</v>
      </c>
      <c r="R49" s="60">
        <f t="shared" si="13"/>
        <v>0</v>
      </c>
      <c r="S49" s="60">
        <f>Eingabe!$C$25+Eingabe!$E$25*'Berechnung Ratierlich 4%'!F49</f>
        <v>39</v>
      </c>
      <c r="T49" s="4">
        <f t="shared" si="9"/>
        <v>-39</v>
      </c>
    </row>
    <row r="50" spans="1:20">
      <c r="A50" s="27">
        <v>40</v>
      </c>
      <c r="B50" s="3">
        <f t="shared" si="1"/>
        <v>0.01</v>
      </c>
      <c r="C50" s="40">
        <f t="shared" si="14"/>
        <v>0</v>
      </c>
      <c r="D50" s="40">
        <f t="shared" si="15"/>
        <v>0</v>
      </c>
      <c r="E50" s="47">
        <f t="shared" si="16"/>
        <v>0</v>
      </c>
      <c r="F50" s="47">
        <f t="shared" si="17"/>
        <v>0</v>
      </c>
      <c r="G50" s="27">
        <f>IF(VLOOKUP(A50,Wechsel!$A$11:$E$31,1)=A50,VLOOKUP(A50,Wechsel!$A$11:$E$31,1),0)</f>
        <v>0</v>
      </c>
      <c r="H50" s="35">
        <f>IF(G50&gt;0,VLOOKUP(A50,Wechsel!$A$11:$E$31,3),H49)</f>
        <v>0</v>
      </c>
      <c r="I50" s="35">
        <f>IF(G50&gt;0,VLOOKUP(A50,Wechsel!$A$11:$E$31,4),I49)</f>
        <v>0</v>
      </c>
      <c r="J50" s="35">
        <f>IF(G50&gt;0,VLOOKUP(A50,Wechsel!$A$11:$E$31,5),J49)</f>
        <v>1</v>
      </c>
      <c r="K50" s="52">
        <f t="shared" si="10"/>
        <v>0</v>
      </c>
      <c r="L50" s="53">
        <f t="shared" si="11"/>
        <v>0</v>
      </c>
      <c r="M50" s="54">
        <f t="shared" si="18"/>
        <v>0</v>
      </c>
      <c r="N50" s="59">
        <f t="shared" si="6"/>
        <v>1</v>
      </c>
      <c r="O50" s="53">
        <f t="shared" si="12"/>
        <v>0</v>
      </c>
      <c r="P50" s="52">
        <f>MAX(P49-Eingabe!$E$28,0)</f>
        <v>0</v>
      </c>
      <c r="Q50" s="60">
        <f t="shared" si="7"/>
        <v>0</v>
      </c>
      <c r="R50" s="60">
        <f t="shared" si="13"/>
        <v>0</v>
      </c>
      <c r="S50" s="60">
        <f>Eingabe!$C$25+Eingabe!$E$25*'Berechnung Ratierlich 4%'!F50</f>
        <v>39</v>
      </c>
      <c r="T50" s="4">
        <f t="shared" si="9"/>
        <v>-39</v>
      </c>
    </row>
    <row r="51" spans="1:20">
      <c r="A51" s="27">
        <v>41</v>
      </c>
      <c r="B51" s="3">
        <f t="shared" si="1"/>
        <v>0.01</v>
      </c>
      <c r="C51" s="40">
        <f t="shared" si="14"/>
        <v>0</v>
      </c>
      <c r="D51" s="40">
        <f t="shared" si="15"/>
        <v>0</v>
      </c>
      <c r="E51" s="47">
        <f t="shared" si="16"/>
        <v>0</v>
      </c>
      <c r="F51" s="47">
        <f t="shared" si="17"/>
        <v>0</v>
      </c>
      <c r="G51" s="27">
        <f>IF(VLOOKUP(A51,Wechsel!$A$11:$E$31,1)=A51,VLOOKUP(A51,Wechsel!$A$11:$E$31,1),0)</f>
        <v>0</v>
      </c>
      <c r="H51" s="35">
        <f>IF(G51&gt;0,VLOOKUP(A51,Wechsel!$A$11:$E$31,3),H50)</f>
        <v>0</v>
      </c>
      <c r="I51" s="35">
        <f>IF(G51&gt;0,VLOOKUP(A51,Wechsel!$A$11:$E$31,4),I50)</f>
        <v>0</v>
      </c>
      <c r="J51" s="35">
        <f>IF(G51&gt;0,VLOOKUP(A51,Wechsel!$A$11:$E$31,5),J50)</f>
        <v>1</v>
      </c>
      <c r="K51" s="52">
        <f t="shared" si="10"/>
        <v>0</v>
      </c>
      <c r="L51" s="53">
        <f t="shared" si="11"/>
        <v>0</v>
      </c>
      <c r="M51" s="54">
        <f t="shared" si="18"/>
        <v>0</v>
      </c>
      <c r="N51" s="59">
        <f t="shared" si="6"/>
        <v>1</v>
      </c>
      <c r="O51" s="53">
        <f t="shared" si="12"/>
        <v>0</v>
      </c>
      <c r="P51" s="52">
        <f>MAX(P50-Eingabe!$E$28,0)</f>
        <v>0</v>
      </c>
      <c r="Q51" s="60">
        <f t="shared" si="7"/>
        <v>0</v>
      </c>
      <c r="R51" s="60">
        <f t="shared" si="13"/>
        <v>0</v>
      </c>
      <c r="S51" s="60">
        <f>Eingabe!$C$25+Eingabe!$E$25*'Berechnung Ratierlich 4%'!F51</f>
        <v>39</v>
      </c>
      <c r="T51" s="4">
        <f t="shared" si="9"/>
        <v>-39</v>
      </c>
    </row>
    <row r="52" spans="1:20">
      <c r="A52" s="27">
        <v>42</v>
      </c>
      <c r="B52" s="3">
        <f t="shared" si="1"/>
        <v>0.01</v>
      </c>
      <c r="C52" s="40">
        <f t="shared" si="14"/>
        <v>0</v>
      </c>
      <c r="D52" s="40">
        <f t="shared" si="15"/>
        <v>0</v>
      </c>
      <c r="E52" s="47">
        <f t="shared" si="16"/>
        <v>0</v>
      </c>
      <c r="F52" s="47">
        <f t="shared" si="17"/>
        <v>0</v>
      </c>
      <c r="G52" s="27">
        <f>IF(VLOOKUP(A52,Wechsel!$A$11:$E$31,1)=A52,VLOOKUP(A52,Wechsel!$A$11:$E$31,1),0)</f>
        <v>0</v>
      </c>
      <c r="H52" s="35">
        <f>IF(G52&gt;0,VLOOKUP(A52,Wechsel!$A$11:$E$31,3),H51)</f>
        <v>0</v>
      </c>
      <c r="I52" s="35">
        <f>IF(G52&gt;0,VLOOKUP(A52,Wechsel!$A$11:$E$31,4),I51)</f>
        <v>0</v>
      </c>
      <c r="J52" s="35">
        <f>IF(G52&gt;0,VLOOKUP(A52,Wechsel!$A$11:$E$31,5),J51)</f>
        <v>1</v>
      </c>
      <c r="K52" s="52">
        <f t="shared" si="10"/>
        <v>0</v>
      </c>
      <c r="L52" s="53">
        <f t="shared" si="11"/>
        <v>0</v>
      </c>
      <c r="M52" s="54">
        <f t="shared" si="18"/>
        <v>0</v>
      </c>
      <c r="N52" s="59">
        <f t="shared" si="6"/>
        <v>1</v>
      </c>
      <c r="O52" s="53">
        <f t="shared" si="12"/>
        <v>0</v>
      </c>
      <c r="P52" s="52">
        <f>MAX(P51-Eingabe!$E$28,0)</f>
        <v>0</v>
      </c>
      <c r="Q52" s="60">
        <f t="shared" si="7"/>
        <v>0</v>
      </c>
      <c r="R52" s="60">
        <f t="shared" si="13"/>
        <v>0</v>
      </c>
      <c r="S52" s="60">
        <f>Eingabe!$C$25+Eingabe!$E$25*'Berechnung Ratierlich 4%'!F52</f>
        <v>39</v>
      </c>
      <c r="T52" s="4">
        <f t="shared" si="9"/>
        <v>-39</v>
      </c>
    </row>
    <row r="53" spans="1:20">
      <c r="A53" s="27">
        <v>43</v>
      </c>
      <c r="B53" s="3">
        <f t="shared" si="1"/>
        <v>0.01</v>
      </c>
      <c r="C53" s="40">
        <f t="shared" si="14"/>
        <v>0</v>
      </c>
      <c r="D53" s="40">
        <f t="shared" si="15"/>
        <v>0</v>
      </c>
      <c r="E53" s="47">
        <f t="shared" si="16"/>
        <v>0</v>
      </c>
      <c r="F53" s="47">
        <f t="shared" si="17"/>
        <v>0</v>
      </c>
      <c r="G53" s="27">
        <f>IF(VLOOKUP(A53,Wechsel!$A$11:$E$31,1)=A53,VLOOKUP(A53,Wechsel!$A$11:$E$31,1),0)</f>
        <v>0</v>
      </c>
      <c r="H53" s="35">
        <f>IF(G53&gt;0,VLOOKUP(A53,Wechsel!$A$11:$E$31,3),H52)</f>
        <v>0</v>
      </c>
      <c r="I53" s="35">
        <f>IF(G53&gt;0,VLOOKUP(A53,Wechsel!$A$11:$E$31,4),I52)</f>
        <v>0</v>
      </c>
      <c r="J53" s="35">
        <f>IF(G53&gt;0,VLOOKUP(A53,Wechsel!$A$11:$E$31,5),J52)</f>
        <v>1</v>
      </c>
      <c r="K53" s="52">
        <f t="shared" si="10"/>
        <v>0</v>
      </c>
      <c r="L53" s="53">
        <f t="shared" si="11"/>
        <v>0</v>
      </c>
      <c r="M53" s="54">
        <f t="shared" si="18"/>
        <v>0</v>
      </c>
      <c r="N53" s="59">
        <f t="shared" si="6"/>
        <v>1</v>
      </c>
      <c r="O53" s="53">
        <f t="shared" si="12"/>
        <v>0</v>
      </c>
      <c r="P53" s="52">
        <f>MAX(P52-Eingabe!$E$28,0)</f>
        <v>0</v>
      </c>
      <c r="Q53" s="60">
        <f t="shared" si="7"/>
        <v>0</v>
      </c>
      <c r="R53" s="60">
        <f t="shared" si="13"/>
        <v>0</v>
      </c>
      <c r="S53" s="60">
        <f>Eingabe!$C$25+Eingabe!$E$25*'Berechnung Ratierlich 4%'!F53</f>
        <v>39</v>
      </c>
      <c r="T53" s="4">
        <f t="shared" si="9"/>
        <v>-39</v>
      </c>
    </row>
    <row r="54" spans="1:20">
      <c r="A54" s="27">
        <v>44</v>
      </c>
      <c r="B54" s="3">
        <f t="shared" si="1"/>
        <v>0.01</v>
      </c>
      <c r="C54" s="40">
        <f t="shared" si="14"/>
        <v>0</v>
      </c>
      <c r="D54" s="40">
        <f t="shared" si="15"/>
        <v>0</v>
      </c>
      <c r="E54" s="47">
        <f t="shared" si="16"/>
        <v>0</v>
      </c>
      <c r="F54" s="47">
        <f t="shared" si="17"/>
        <v>0</v>
      </c>
      <c r="G54" s="27">
        <f>IF(VLOOKUP(A54,Wechsel!$A$11:$E$31,1)=A54,VLOOKUP(A54,Wechsel!$A$11:$E$31,1),0)</f>
        <v>0</v>
      </c>
      <c r="H54" s="35">
        <f>IF(G54&gt;0,VLOOKUP(A54,Wechsel!$A$11:$E$31,3),H53)</f>
        <v>0</v>
      </c>
      <c r="I54" s="35">
        <f>IF(G54&gt;0,VLOOKUP(A54,Wechsel!$A$11:$E$31,4),I53)</f>
        <v>0</v>
      </c>
      <c r="J54" s="35">
        <f>IF(G54&gt;0,VLOOKUP(A54,Wechsel!$A$11:$E$31,5),J53)</f>
        <v>1</v>
      </c>
      <c r="K54" s="52">
        <f t="shared" si="10"/>
        <v>0</v>
      </c>
      <c r="L54" s="53">
        <f t="shared" si="11"/>
        <v>0</v>
      </c>
      <c r="M54" s="54">
        <f t="shared" si="18"/>
        <v>0</v>
      </c>
      <c r="N54" s="59">
        <f t="shared" si="6"/>
        <v>1</v>
      </c>
      <c r="O54" s="53">
        <f t="shared" si="12"/>
        <v>0</v>
      </c>
      <c r="P54" s="52">
        <f>MAX(P53-Eingabe!$E$28,0)</f>
        <v>0</v>
      </c>
      <c r="Q54" s="60">
        <f t="shared" si="7"/>
        <v>0</v>
      </c>
      <c r="R54" s="60">
        <f t="shared" si="13"/>
        <v>0</v>
      </c>
      <c r="S54" s="60">
        <f>Eingabe!$C$25+Eingabe!$E$25*'Berechnung Ratierlich 4%'!F54</f>
        <v>39</v>
      </c>
      <c r="T54" s="4">
        <f t="shared" si="9"/>
        <v>-39</v>
      </c>
    </row>
    <row r="55" spans="1:20">
      <c r="A55" s="27">
        <v>45</v>
      </c>
      <c r="B55" s="3">
        <f t="shared" si="1"/>
        <v>0.01</v>
      </c>
      <c r="C55" s="40">
        <f t="shared" si="14"/>
        <v>0</v>
      </c>
      <c r="D55" s="40">
        <f t="shared" si="15"/>
        <v>0</v>
      </c>
      <c r="E55" s="47">
        <f t="shared" si="16"/>
        <v>0</v>
      </c>
      <c r="F55" s="47">
        <f t="shared" si="17"/>
        <v>0</v>
      </c>
      <c r="G55" s="27">
        <f>IF(VLOOKUP(A55,Wechsel!$A$11:$E$31,1)=A55,VLOOKUP(A55,Wechsel!$A$11:$E$31,1),0)</f>
        <v>0</v>
      </c>
      <c r="H55" s="35">
        <f>IF(G55&gt;0,VLOOKUP(A55,Wechsel!$A$11:$E$31,3),H54)</f>
        <v>0</v>
      </c>
      <c r="I55" s="35">
        <f>IF(G55&gt;0,VLOOKUP(A55,Wechsel!$A$11:$E$31,4),I54)</f>
        <v>0</v>
      </c>
      <c r="J55" s="35">
        <f>IF(G55&gt;0,VLOOKUP(A55,Wechsel!$A$11:$E$31,5),J54)</f>
        <v>1</v>
      </c>
      <c r="K55" s="52">
        <f t="shared" si="10"/>
        <v>0</v>
      </c>
      <c r="L55" s="53">
        <f t="shared" si="11"/>
        <v>0</v>
      </c>
      <c r="M55" s="54">
        <f t="shared" si="18"/>
        <v>0</v>
      </c>
      <c r="N55" s="59">
        <f t="shared" si="6"/>
        <v>1</v>
      </c>
      <c r="O55" s="53">
        <f t="shared" si="12"/>
        <v>0</v>
      </c>
      <c r="P55" s="52">
        <f>MAX(P54-Eingabe!$E$28,0)</f>
        <v>0</v>
      </c>
      <c r="Q55" s="60">
        <f t="shared" si="7"/>
        <v>0</v>
      </c>
      <c r="R55" s="60">
        <f t="shared" si="13"/>
        <v>0</v>
      </c>
      <c r="S55" s="60">
        <f>Eingabe!$C$25+Eingabe!$E$25*'Berechnung Ratierlich 4%'!F55</f>
        <v>39</v>
      </c>
      <c r="T55" s="4">
        <f t="shared" si="9"/>
        <v>-39</v>
      </c>
    </row>
    <row r="56" spans="1:20">
      <c r="A56" s="27">
        <v>46</v>
      </c>
      <c r="B56" s="3">
        <f t="shared" si="1"/>
        <v>0.01</v>
      </c>
      <c r="C56" s="40">
        <f t="shared" si="14"/>
        <v>0</v>
      </c>
      <c r="D56" s="40">
        <f t="shared" si="15"/>
        <v>0</v>
      </c>
      <c r="E56" s="47">
        <f t="shared" si="16"/>
        <v>0</v>
      </c>
      <c r="F56" s="47">
        <f t="shared" si="17"/>
        <v>0</v>
      </c>
      <c r="G56" s="27">
        <f>IF(VLOOKUP(A56,Wechsel!$A$11:$E$31,1)=A56,VLOOKUP(A56,Wechsel!$A$11:$E$31,1),0)</f>
        <v>0</v>
      </c>
      <c r="H56" s="35">
        <f>IF(G56&gt;0,VLOOKUP(A56,Wechsel!$A$11:$E$31,3),H55)</f>
        <v>0</v>
      </c>
      <c r="I56" s="35">
        <f>IF(G56&gt;0,VLOOKUP(A56,Wechsel!$A$11:$E$31,4),I55)</f>
        <v>0</v>
      </c>
      <c r="J56" s="35">
        <f>IF(G56&gt;0,VLOOKUP(A56,Wechsel!$A$11:$E$31,5),J55)</f>
        <v>1</v>
      </c>
      <c r="K56" s="52">
        <f t="shared" si="10"/>
        <v>0</v>
      </c>
      <c r="L56" s="53">
        <f t="shared" si="11"/>
        <v>0</v>
      </c>
      <c r="M56" s="54">
        <f t="shared" si="18"/>
        <v>0</v>
      </c>
      <c r="N56" s="59">
        <f t="shared" si="6"/>
        <v>1</v>
      </c>
      <c r="O56" s="53">
        <f t="shared" si="12"/>
        <v>0</v>
      </c>
      <c r="P56" s="52">
        <f>MAX(P55-Eingabe!$E$28,0)</f>
        <v>0</v>
      </c>
      <c r="Q56" s="60">
        <f t="shared" si="7"/>
        <v>0</v>
      </c>
      <c r="R56" s="60">
        <f t="shared" si="13"/>
        <v>0</v>
      </c>
      <c r="S56" s="60">
        <f>Eingabe!$C$25+Eingabe!$E$25*'Berechnung Ratierlich 4%'!F56</f>
        <v>39</v>
      </c>
      <c r="T56" s="4">
        <f t="shared" si="9"/>
        <v>-39</v>
      </c>
    </row>
    <row r="57" spans="1:20">
      <c r="A57" s="27">
        <v>47</v>
      </c>
      <c r="B57" s="3">
        <f t="shared" si="1"/>
        <v>0.01</v>
      </c>
      <c r="C57" s="40">
        <f t="shared" si="14"/>
        <v>0</v>
      </c>
      <c r="D57" s="40">
        <f t="shared" si="15"/>
        <v>0</v>
      </c>
      <c r="E57" s="47">
        <f t="shared" si="16"/>
        <v>0</v>
      </c>
      <c r="F57" s="47">
        <f t="shared" si="17"/>
        <v>0</v>
      </c>
      <c r="G57" s="27">
        <f>IF(VLOOKUP(A57,Wechsel!$A$11:$E$31,1)=A57,VLOOKUP(A57,Wechsel!$A$11:$E$31,1),0)</f>
        <v>0</v>
      </c>
      <c r="H57" s="35">
        <f>IF(G57&gt;0,VLOOKUP(A57,Wechsel!$A$11:$E$31,3),H56)</f>
        <v>0</v>
      </c>
      <c r="I57" s="35">
        <f>IF(G57&gt;0,VLOOKUP(A57,Wechsel!$A$11:$E$31,4),I56)</f>
        <v>0</v>
      </c>
      <c r="J57" s="35">
        <f>IF(G57&gt;0,VLOOKUP(A57,Wechsel!$A$11:$E$31,5),J56)</f>
        <v>1</v>
      </c>
      <c r="K57" s="52">
        <f t="shared" si="10"/>
        <v>0</v>
      </c>
      <c r="L57" s="53">
        <f t="shared" si="11"/>
        <v>0</v>
      </c>
      <c r="M57" s="54">
        <f t="shared" si="18"/>
        <v>0</v>
      </c>
      <c r="N57" s="59">
        <f t="shared" si="6"/>
        <v>1</v>
      </c>
      <c r="O57" s="53">
        <f t="shared" si="12"/>
        <v>0</v>
      </c>
      <c r="P57" s="52">
        <f>MAX(P56-Eingabe!$E$28,0)</f>
        <v>0</v>
      </c>
      <c r="Q57" s="60">
        <f t="shared" si="7"/>
        <v>0</v>
      </c>
      <c r="R57" s="60">
        <f t="shared" si="13"/>
        <v>0</v>
      </c>
      <c r="S57" s="60">
        <f>Eingabe!$C$25+Eingabe!$E$25*'Berechnung Ratierlich 4%'!F57</f>
        <v>39</v>
      </c>
      <c r="T57" s="4">
        <f t="shared" si="9"/>
        <v>-39</v>
      </c>
    </row>
    <row r="58" spans="1:20">
      <c r="A58" s="27">
        <v>48</v>
      </c>
      <c r="B58" s="3">
        <f t="shared" si="1"/>
        <v>0.01</v>
      </c>
      <c r="C58" s="40">
        <f t="shared" si="14"/>
        <v>0</v>
      </c>
      <c r="D58" s="40">
        <f t="shared" si="15"/>
        <v>0</v>
      </c>
      <c r="E58" s="47">
        <f t="shared" si="16"/>
        <v>0</v>
      </c>
      <c r="F58" s="47">
        <f t="shared" si="17"/>
        <v>0</v>
      </c>
      <c r="G58" s="27">
        <f>IF(VLOOKUP(A58,Wechsel!$A$11:$E$31,1)=A58,VLOOKUP(A58,Wechsel!$A$11:$E$31,1),0)</f>
        <v>0</v>
      </c>
      <c r="H58" s="35">
        <f>IF(G58&gt;0,VLOOKUP(A58,Wechsel!$A$11:$E$31,3),H57)</f>
        <v>0</v>
      </c>
      <c r="I58" s="35">
        <f>IF(G58&gt;0,VLOOKUP(A58,Wechsel!$A$11:$E$31,4),I57)</f>
        <v>0</v>
      </c>
      <c r="J58" s="35">
        <f>IF(G58&gt;0,VLOOKUP(A58,Wechsel!$A$11:$E$31,5),J57)</f>
        <v>1</v>
      </c>
      <c r="K58" s="52">
        <f t="shared" si="10"/>
        <v>0</v>
      </c>
      <c r="L58" s="53">
        <f t="shared" si="11"/>
        <v>0</v>
      </c>
      <c r="M58" s="54">
        <f t="shared" si="18"/>
        <v>0</v>
      </c>
      <c r="N58" s="59">
        <f t="shared" si="6"/>
        <v>1</v>
      </c>
      <c r="O58" s="53">
        <f t="shared" si="12"/>
        <v>0</v>
      </c>
      <c r="P58" s="52">
        <f>MAX(P57-Eingabe!$E$28,0)</f>
        <v>0</v>
      </c>
      <c r="Q58" s="60">
        <f t="shared" si="7"/>
        <v>0</v>
      </c>
      <c r="R58" s="60">
        <f t="shared" si="13"/>
        <v>0</v>
      </c>
      <c r="S58" s="60">
        <f>Eingabe!$C$25+Eingabe!$E$25*'Berechnung Ratierlich 4%'!F58</f>
        <v>39</v>
      </c>
      <c r="T58" s="4">
        <f t="shared" si="9"/>
        <v>-39</v>
      </c>
    </row>
    <row r="59" spans="1:20">
      <c r="A59" s="27">
        <v>49</v>
      </c>
      <c r="B59" s="3">
        <f t="shared" si="1"/>
        <v>0.01</v>
      </c>
      <c r="C59" s="40">
        <f t="shared" si="14"/>
        <v>0</v>
      </c>
      <c r="D59" s="40">
        <f t="shared" si="15"/>
        <v>0</v>
      </c>
      <c r="E59" s="47">
        <f t="shared" si="16"/>
        <v>0</v>
      </c>
      <c r="F59" s="47">
        <f t="shared" si="17"/>
        <v>0</v>
      </c>
      <c r="G59" s="27">
        <f>IF(VLOOKUP(A59,Wechsel!$A$11:$E$31,1)=A59,VLOOKUP(A59,Wechsel!$A$11:$E$31,1),0)</f>
        <v>0</v>
      </c>
      <c r="H59" s="35">
        <f>IF(G59&gt;0,VLOOKUP(A59,Wechsel!$A$11:$E$31,3),H58)</f>
        <v>0</v>
      </c>
      <c r="I59" s="35">
        <f>IF(G59&gt;0,VLOOKUP(A59,Wechsel!$A$11:$E$31,4),I58)</f>
        <v>0</v>
      </c>
      <c r="J59" s="35">
        <f>IF(G59&gt;0,VLOOKUP(A59,Wechsel!$A$11:$E$31,5),J58)</f>
        <v>1</v>
      </c>
      <c r="K59" s="52">
        <f t="shared" si="10"/>
        <v>0</v>
      </c>
      <c r="L59" s="53">
        <f t="shared" si="11"/>
        <v>0</v>
      </c>
      <c r="M59" s="54">
        <f t="shared" si="18"/>
        <v>0</v>
      </c>
      <c r="N59" s="59">
        <f t="shared" si="6"/>
        <v>1</v>
      </c>
      <c r="O59" s="53">
        <f t="shared" si="12"/>
        <v>0</v>
      </c>
      <c r="P59" s="52">
        <f>MAX(P58-Eingabe!$E$28,0)</f>
        <v>0</v>
      </c>
      <c r="Q59" s="60">
        <f t="shared" si="7"/>
        <v>0</v>
      </c>
      <c r="R59" s="60">
        <f t="shared" si="13"/>
        <v>0</v>
      </c>
      <c r="S59" s="60">
        <f>Eingabe!$C$25+Eingabe!$E$25*'Berechnung Ratierlich 4%'!F59</f>
        <v>39</v>
      </c>
      <c r="T59" s="4">
        <f t="shared" si="9"/>
        <v>-39</v>
      </c>
    </row>
    <row r="60" spans="1:20">
      <c r="A60" s="27">
        <v>50</v>
      </c>
      <c r="B60" s="3">
        <f t="shared" si="1"/>
        <v>0.01</v>
      </c>
      <c r="C60" s="40">
        <f t="shared" si="14"/>
        <v>0</v>
      </c>
      <c r="D60" s="40">
        <f t="shared" si="15"/>
        <v>0</v>
      </c>
      <c r="E60" s="47">
        <f t="shared" si="16"/>
        <v>0</v>
      </c>
      <c r="F60" s="47">
        <f t="shared" si="17"/>
        <v>0</v>
      </c>
      <c r="G60" s="27">
        <f>IF(VLOOKUP(A60,Wechsel!$A$11:$E$31,1)=A60,VLOOKUP(A60,Wechsel!$A$11:$E$31,1),0)</f>
        <v>0</v>
      </c>
      <c r="H60" s="35">
        <f>IF(G60&gt;0,VLOOKUP(A60,Wechsel!$A$11:$E$31,3),H59)</f>
        <v>0</v>
      </c>
      <c r="I60" s="35">
        <f>IF(G60&gt;0,VLOOKUP(A60,Wechsel!$A$11:$E$31,4),I59)</f>
        <v>0</v>
      </c>
      <c r="J60" s="35">
        <f>IF(G60&gt;0,VLOOKUP(A60,Wechsel!$A$11:$E$31,5),J59)</f>
        <v>1</v>
      </c>
      <c r="K60" s="52">
        <f t="shared" si="10"/>
        <v>0</v>
      </c>
      <c r="L60" s="53">
        <f t="shared" si="11"/>
        <v>0</v>
      </c>
      <c r="M60" s="54">
        <f t="shared" si="18"/>
        <v>0</v>
      </c>
      <c r="N60" s="59">
        <f t="shared" si="6"/>
        <v>1</v>
      </c>
      <c r="O60" s="53">
        <f t="shared" si="12"/>
        <v>0</v>
      </c>
      <c r="P60" s="52">
        <f>MAX(P59-Eingabe!$E$28,0)</f>
        <v>0</v>
      </c>
      <c r="Q60" s="60">
        <f t="shared" si="7"/>
        <v>0</v>
      </c>
      <c r="R60" s="60">
        <f t="shared" si="13"/>
        <v>0</v>
      </c>
      <c r="S60" s="60">
        <f>Eingabe!$C$25+Eingabe!$E$25*'Berechnung Ratierlich 4%'!F60</f>
        <v>39</v>
      </c>
      <c r="T60" s="4">
        <f t="shared" si="9"/>
        <v>-39</v>
      </c>
    </row>
    <row r="61" spans="1:20">
      <c r="A61" s="190">
        <v>51</v>
      </c>
      <c r="B61" s="3">
        <f t="shared" ref="B61:B70" si="19">$G$3*H60+$H$3*I60+$I$3*J60</f>
        <v>0.01</v>
      </c>
      <c r="C61" s="40">
        <f t="shared" ref="C61:C70" si="20">IF($B$3&gt;=A61,$B$2,0)/(1+B61)</f>
        <v>0</v>
      </c>
      <c r="D61" s="40">
        <f t="shared" ref="D61:D70" si="21">MAX(IF(A61&gt;$B$3,0,T60),0)</f>
        <v>0</v>
      </c>
      <c r="E61" s="47">
        <f t="shared" ref="E61:E70" si="22">(C61+D61)*$B$1</f>
        <v>0</v>
      </c>
      <c r="F61" s="47">
        <f t="shared" ref="F61:F70" si="23">IF(A61&gt;$B$3,0,C61+E61+D61)</f>
        <v>0</v>
      </c>
      <c r="G61" s="190">
        <f>IF(VLOOKUP(A61,Wechsel!$A$11:$E$31,1)=A61,VLOOKUP(A61,Wechsel!$A$11:$E$31,1),0)</f>
        <v>0</v>
      </c>
      <c r="H61" s="35">
        <f>IF(G61&gt;0,VLOOKUP(A61,Wechsel!$A$11:$E$31,3),H60)</f>
        <v>0</v>
      </c>
      <c r="I61" s="35">
        <f>IF(G61&gt;0,VLOOKUP(A61,Wechsel!$A$11:$E$31,4),I60)</f>
        <v>0</v>
      </c>
      <c r="J61" s="35">
        <f>IF(G61&gt;0,VLOOKUP(A61,Wechsel!$A$11:$E$31,5),J60)</f>
        <v>1</v>
      </c>
      <c r="K61" s="52">
        <f t="shared" ref="K61:K70" si="24">D61*$M$1*0.7*0.7*$M$2*H61+D61*$M$1*0.85*0.7*$M$2*I61+D61*$M$1*0.7*$M$2*J61</f>
        <v>0</v>
      </c>
      <c r="L61" s="53">
        <f t="shared" ref="L61:L70" si="25">IF(G60&gt;0,K61,K61+L60)</f>
        <v>0</v>
      </c>
      <c r="M61" s="54">
        <f t="shared" ref="M61:M70" si="26">IF(A61&gt;$B$3,0,IF(G60&gt;0,T60,C61+M60))</f>
        <v>0</v>
      </c>
      <c r="N61" s="59">
        <f t="shared" ref="N61:N70" si="27">1-(H61*$G$5+I61*$H$5+J61*$I$5)</f>
        <v>1</v>
      </c>
      <c r="O61" s="53">
        <f t="shared" ref="O61:O70" si="28">IF(G61&gt;0,(F61-M61)*N60,0)</f>
        <v>0</v>
      </c>
      <c r="P61" s="52">
        <f>MAX(P60-Eingabe!$E$28,0)</f>
        <v>0</v>
      </c>
      <c r="Q61" s="60">
        <f t="shared" ref="Q61:Q70" si="29">MAX(0,K61+O61*$M$2-P61-IF(G61&gt;0,-(L60+K61),0))</f>
        <v>0</v>
      </c>
      <c r="R61" s="60">
        <f t="shared" ref="R61:R70" si="30">MAX(IF(G61&gt;0,(H61*$G$4+I61*$H$4+J61*$I$4)*(F61-Q61),0),0)</f>
        <v>0</v>
      </c>
      <c r="S61" s="60">
        <f>Eingabe!$C$25+Eingabe!$E$25*'Berechnung Ratierlich 4%'!F61</f>
        <v>39</v>
      </c>
      <c r="T61" s="4">
        <f t="shared" ref="T61:T70" si="31">F61-Q61-R61-S61</f>
        <v>-39</v>
      </c>
    </row>
    <row r="62" spans="1:20">
      <c r="A62" s="190">
        <v>52</v>
      </c>
      <c r="B62" s="3">
        <f t="shared" si="19"/>
        <v>0.01</v>
      </c>
      <c r="C62" s="40">
        <f t="shared" si="20"/>
        <v>0</v>
      </c>
      <c r="D62" s="40">
        <f t="shared" si="21"/>
        <v>0</v>
      </c>
      <c r="E62" s="47">
        <f t="shared" si="22"/>
        <v>0</v>
      </c>
      <c r="F62" s="47">
        <f t="shared" si="23"/>
        <v>0</v>
      </c>
      <c r="G62" s="190">
        <f>IF(VLOOKUP(A62,Wechsel!$A$11:$E$31,1)=A62,VLOOKUP(A62,Wechsel!$A$11:$E$31,1),0)</f>
        <v>0</v>
      </c>
      <c r="H62" s="35">
        <f>IF(G62&gt;0,VLOOKUP(A62,Wechsel!$A$11:$E$31,3),H61)</f>
        <v>0</v>
      </c>
      <c r="I62" s="35">
        <f>IF(G62&gt;0,VLOOKUP(A62,Wechsel!$A$11:$E$31,4),I61)</f>
        <v>0</v>
      </c>
      <c r="J62" s="35">
        <f>IF(G62&gt;0,VLOOKUP(A62,Wechsel!$A$11:$E$31,5),J61)</f>
        <v>1</v>
      </c>
      <c r="K62" s="52">
        <f t="shared" si="24"/>
        <v>0</v>
      </c>
      <c r="L62" s="53">
        <f t="shared" si="25"/>
        <v>0</v>
      </c>
      <c r="M62" s="54">
        <f t="shared" si="26"/>
        <v>0</v>
      </c>
      <c r="N62" s="59">
        <f t="shared" si="27"/>
        <v>1</v>
      </c>
      <c r="O62" s="53">
        <f t="shared" si="28"/>
        <v>0</v>
      </c>
      <c r="P62" s="52">
        <f>MAX(P61-Eingabe!$E$28,0)</f>
        <v>0</v>
      </c>
      <c r="Q62" s="60">
        <f t="shared" si="29"/>
        <v>0</v>
      </c>
      <c r="R62" s="60">
        <f t="shared" si="30"/>
        <v>0</v>
      </c>
      <c r="S62" s="60">
        <f>Eingabe!$C$25+Eingabe!$E$25*'Berechnung Ratierlich 4%'!F62</f>
        <v>39</v>
      </c>
      <c r="T62" s="4">
        <f t="shared" si="31"/>
        <v>-39</v>
      </c>
    </row>
    <row r="63" spans="1:20">
      <c r="A63" s="190">
        <v>53</v>
      </c>
      <c r="B63" s="3">
        <f t="shared" si="19"/>
        <v>0.01</v>
      </c>
      <c r="C63" s="40">
        <f t="shared" si="20"/>
        <v>0</v>
      </c>
      <c r="D63" s="40">
        <f t="shared" si="21"/>
        <v>0</v>
      </c>
      <c r="E63" s="47">
        <f t="shared" si="22"/>
        <v>0</v>
      </c>
      <c r="F63" s="47">
        <f t="shared" si="23"/>
        <v>0</v>
      </c>
      <c r="G63" s="190">
        <f>IF(VLOOKUP(A63,Wechsel!$A$11:$E$31,1)=A63,VLOOKUP(A63,Wechsel!$A$11:$E$31,1),0)</f>
        <v>0</v>
      </c>
      <c r="H63" s="35">
        <f>IF(G63&gt;0,VLOOKUP(A63,Wechsel!$A$11:$E$31,3),H62)</f>
        <v>0</v>
      </c>
      <c r="I63" s="35">
        <f>IF(G63&gt;0,VLOOKUP(A63,Wechsel!$A$11:$E$31,4),I62)</f>
        <v>0</v>
      </c>
      <c r="J63" s="35">
        <f>IF(G63&gt;0,VLOOKUP(A63,Wechsel!$A$11:$E$31,5),J62)</f>
        <v>1</v>
      </c>
      <c r="K63" s="52">
        <f t="shared" si="24"/>
        <v>0</v>
      </c>
      <c r="L63" s="53">
        <f t="shared" si="25"/>
        <v>0</v>
      </c>
      <c r="M63" s="54">
        <f t="shared" si="26"/>
        <v>0</v>
      </c>
      <c r="N63" s="59">
        <f t="shared" si="27"/>
        <v>1</v>
      </c>
      <c r="O63" s="53">
        <f t="shared" si="28"/>
        <v>0</v>
      </c>
      <c r="P63" s="52">
        <f>MAX(P62-Eingabe!$E$28,0)</f>
        <v>0</v>
      </c>
      <c r="Q63" s="60">
        <f t="shared" si="29"/>
        <v>0</v>
      </c>
      <c r="R63" s="60">
        <f t="shared" si="30"/>
        <v>0</v>
      </c>
      <c r="S63" s="60">
        <f>Eingabe!$C$25+Eingabe!$E$25*'Berechnung Ratierlich 4%'!F63</f>
        <v>39</v>
      </c>
      <c r="T63" s="4">
        <f t="shared" si="31"/>
        <v>-39</v>
      </c>
    </row>
    <row r="64" spans="1:20">
      <c r="A64" s="190">
        <v>54</v>
      </c>
      <c r="B64" s="3">
        <f t="shared" si="19"/>
        <v>0.01</v>
      </c>
      <c r="C64" s="40">
        <f t="shared" si="20"/>
        <v>0</v>
      </c>
      <c r="D64" s="40">
        <f t="shared" si="21"/>
        <v>0</v>
      </c>
      <c r="E64" s="47">
        <f t="shared" si="22"/>
        <v>0</v>
      </c>
      <c r="F64" s="47">
        <f t="shared" si="23"/>
        <v>0</v>
      </c>
      <c r="G64" s="190">
        <f>IF(VLOOKUP(A64,Wechsel!$A$11:$E$31,1)=A64,VLOOKUP(A64,Wechsel!$A$11:$E$31,1),0)</f>
        <v>0</v>
      </c>
      <c r="H64" s="35">
        <f>IF(G64&gt;0,VLOOKUP(A64,Wechsel!$A$11:$E$31,3),H63)</f>
        <v>0</v>
      </c>
      <c r="I64" s="35">
        <f>IF(G64&gt;0,VLOOKUP(A64,Wechsel!$A$11:$E$31,4),I63)</f>
        <v>0</v>
      </c>
      <c r="J64" s="35">
        <f>IF(G64&gt;0,VLOOKUP(A64,Wechsel!$A$11:$E$31,5),J63)</f>
        <v>1</v>
      </c>
      <c r="K64" s="52">
        <f t="shared" si="24"/>
        <v>0</v>
      </c>
      <c r="L64" s="53">
        <f t="shared" si="25"/>
        <v>0</v>
      </c>
      <c r="M64" s="54">
        <f t="shared" si="26"/>
        <v>0</v>
      </c>
      <c r="N64" s="59">
        <f t="shared" si="27"/>
        <v>1</v>
      </c>
      <c r="O64" s="53">
        <f t="shared" si="28"/>
        <v>0</v>
      </c>
      <c r="P64" s="52">
        <f>MAX(P63-Eingabe!$E$28,0)</f>
        <v>0</v>
      </c>
      <c r="Q64" s="60">
        <f t="shared" si="29"/>
        <v>0</v>
      </c>
      <c r="R64" s="60">
        <f t="shared" si="30"/>
        <v>0</v>
      </c>
      <c r="S64" s="60">
        <f>Eingabe!$C$25+Eingabe!$E$25*'Berechnung Ratierlich 4%'!F64</f>
        <v>39</v>
      </c>
      <c r="T64" s="4">
        <f t="shared" si="31"/>
        <v>-39</v>
      </c>
    </row>
    <row r="65" spans="1:20">
      <c r="A65" s="190">
        <v>55</v>
      </c>
      <c r="B65" s="3">
        <f t="shared" si="19"/>
        <v>0.01</v>
      </c>
      <c r="C65" s="40">
        <f t="shared" si="20"/>
        <v>0</v>
      </c>
      <c r="D65" s="40">
        <f t="shared" si="21"/>
        <v>0</v>
      </c>
      <c r="E65" s="47">
        <f t="shared" si="22"/>
        <v>0</v>
      </c>
      <c r="F65" s="47">
        <f t="shared" si="23"/>
        <v>0</v>
      </c>
      <c r="G65" s="190">
        <f>IF(VLOOKUP(A65,Wechsel!$A$11:$E$31,1)=A65,VLOOKUP(A65,Wechsel!$A$11:$E$31,1),0)</f>
        <v>0</v>
      </c>
      <c r="H65" s="35">
        <f>IF(G65&gt;0,VLOOKUP(A65,Wechsel!$A$11:$E$31,3),H64)</f>
        <v>0</v>
      </c>
      <c r="I65" s="35">
        <f>IF(G65&gt;0,VLOOKUP(A65,Wechsel!$A$11:$E$31,4),I64)</f>
        <v>0</v>
      </c>
      <c r="J65" s="35">
        <f>IF(G65&gt;0,VLOOKUP(A65,Wechsel!$A$11:$E$31,5),J64)</f>
        <v>1</v>
      </c>
      <c r="K65" s="52">
        <f t="shared" si="24"/>
        <v>0</v>
      </c>
      <c r="L65" s="53">
        <f t="shared" si="25"/>
        <v>0</v>
      </c>
      <c r="M65" s="54">
        <f t="shared" si="26"/>
        <v>0</v>
      </c>
      <c r="N65" s="59">
        <f t="shared" si="27"/>
        <v>1</v>
      </c>
      <c r="O65" s="53">
        <f t="shared" si="28"/>
        <v>0</v>
      </c>
      <c r="P65" s="52">
        <f>MAX(P64-Eingabe!$E$28,0)</f>
        <v>0</v>
      </c>
      <c r="Q65" s="60">
        <f t="shared" si="29"/>
        <v>0</v>
      </c>
      <c r="R65" s="60">
        <f t="shared" si="30"/>
        <v>0</v>
      </c>
      <c r="S65" s="60">
        <f>Eingabe!$C$25+Eingabe!$E$25*'Berechnung Ratierlich 4%'!F65</f>
        <v>39</v>
      </c>
      <c r="T65" s="4">
        <f t="shared" si="31"/>
        <v>-39</v>
      </c>
    </row>
    <row r="66" spans="1:20">
      <c r="A66" s="190">
        <v>56</v>
      </c>
      <c r="B66" s="3">
        <f t="shared" si="19"/>
        <v>0.01</v>
      </c>
      <c r="C66" s="40">
        <f t="shared" si="20"/>
        <v>0</v>
      </c>
      <c r="D66" s="40">
        <f t="shared" si="21"/>
        <v>0</v>
      </c>
      <c r="E66" s="47">
        <f t="shared" si="22"/>
        <v>0</v>
      </c>
      <c r="F66" s="47">
        <f t="shared" si="23"/>
        <v>0</v>
      </c>
      <c r="G66" s="190">
        <f>IF(VLOOKUP(A66,Wechsel!$A$11:$E$31,1)=A66,VLOOKUP(A66,Wechsel!$A$11:$E$31,1),0)</f>
        <v>0</v>
      </c>
      <c r="H66" s="35">
        <f>IF(G66&gt;0,VLOOKUP(A66,Wechsel!$A$11:$E$31,3),H65)</f>
        <v>0</v>
      </c>
      <c r="I66" s="35">
        <f>IF(G66&gt;0,VLOOKUP(A66,Wechsel!$A$11:$E$31,4),I65)</f>
        <v>0</v>
      </c>
      <c r="J66" s="35">
        <f>IF(G66&gt;0,VLOOKUP(A66,Wechsel!$A$11:$E$31,5),J65)</f>
        <v>1</v>
      </c>
      <c r="K66" s="52">
        <f t="shared" si="24"/>
        <v>0</v>
      </c>
      <c r="L66" s="53">
        <f t="shared" si="25"/>
        <v>0</v>
      </c>
      <c r="M66" s="54">
        <f t="shared" si="26"/>
        <v>0</v>
      </c>
      <c r="N66" s="59">
        <f t="shared" si="27"/>
        <v>1</v>
      </c>
      <c r="O66" s="53">
        <f t="shared" si="28"/>
        <v>0</v>
      </c>
      <c r="P66" s="52">
        <f>MAX(P65-Eingabe!$E$28,0)</f>
        <v>0</v>
      </c>
      <c r="Q66" s="60">
        <f t="shared" si="29"/>
        <v>0</v>
      </c>
      <c r="R66" s="60">
        <f t="shared" si="30"/>
        <v>0</v>
      </c>
      <c r="S66" s="60">
        <f>Eingabe!$C$25+Eingabe!$E$25*'Berechnung Ratierlich 4%'!F66</f>
        <v>39</v>
      </c>
      <c r="T66" s="4">
        <f t="shared" si="31"/>
        <v>-39</v>
      </c>
    </row>
    <row r="67" spans="1:20">
      <c r="A67" s="190">
        <v>57</v>
      </c>
      <c r="B67" s="3">
        <f t="shared" si="19"/>
        <v>0.01</v>
      </c>
      <c r="C67" s="40">
        <f t="shared" si="20"/>
        <v>0</v>
      </c>
      <c r="D67" s="40">
        <f t="shared" si="21"/>
        <v>0</v>
      </c>
      <c r="E67" s="47">
        <f t="shared" si="22"/>
        <v>0</v>
      </c>
      <c r="F67" s="47">
        <f t="shared" si="23"/>
        <v>0</v>
      </c>
      <c r="G67" s="190">
        <f>IF(VLOOKUP(A67,Wechsel!$A$11:$E$31,1)=A67,VLOOKUP(A67,Wechsel!$A$11:$E$31,1),0)</f>
        <v>0</v>
      </c>
      <c r="H67" s="35">
        <f>IF(G67&gt;0,VLOOKUP(A67,Wechsel!$A$11:$E$31,3),H66)</f>
        <v>0</v>
      </c>
      <c r="I67" s="35">
        <f>IF(G67&gt;0,VLOOKUP(A67,Wechsel!$A$11:$E$31,4),I66)</f>
        <v>0</v>
      </c>
      <c r="J67" s="35">
        <f>IF(G67&gt;0,VLOOKUP(A67,Wechsel!$A$11:$E$31,5),J66)</f>
        <v>1</v>
      </c>
      <c r="K67" s="52">
        <f t="shared" si="24"/>
        <v>0</v>
      </c>
      <c r="L67" s="53">
        <f t="shared" si="25"/>
        <v>0</v>
      </c>
      <c r="M67" s="54">
        <f t="shared" si="26"/>
        <v>0</v>
      </c>
      <c r="N67" s="59">
        <f t="shared" si="27"/>
        <v>1</v>
      </c>
      <c r="O67" s="53">
        <f t="shared" si="28"/>
        <v>0</v>
      </c>
      <c r="P67" s="52">
        <f>MAX(P66-Eingabe!$E$28,0)</f>
        <v>0</v>
      </c>
      <c r="Q67" s="60">
        <f t="shared" si="29"/>
        <v>0</v>
      </c>
      <c r="R67" s="60">
        <f t="shared" si="30"/>
        <v>0</v>
      </c>
      <c r="S67" s="60">
        <f>Eingabe!$C$25+Eingabe!$E$25*'Berechnung Ratierlich 4%'!F67</f>
        <v>39</v>
      </c>
      <c r="T67" s="4">
        <f t="shared" si="31"/>
        <v>-39</v>
      </c>
    </row>
    <row r="68" spans="1:20">
      <c r="A68" s="190">
        <v>58</v>
      </c>
      <c r="B68" s="3">
        <f t="shared" si="19"/>
        <v>0.01</v>
      </c>
      <c r="C68" s="40">
        <f t="shared" si="20"/>
        <v>0</v>
      </c>
      <c r="D68" s="40">
        <f t="shared" si="21"/>
        <v>0</v>
      </c>
      <c r="E68" s="47">
        <f t="shared" si="22"/>
        <v>0</v>
      </c>
      <c r="F68" s="47">
        <f t="shared" si="23"/>
        <v>0</v>
      </c>
      <c r="G68" s="190">
        <f>IF(VLOOKUP(A68,Wechsel!$A$11:$E$31,1)=A68,VLOOKUP(A68,Wechsel!$A$11:$E$31,1),0)</f>
        <v>0</v>
      </c>
      <c r="H68" s="35">
        <f>IF(G68&gt;0,VLOOKUP(A68,Wechsel!$A$11:$E$31,3),H67)</f>
        <v>0</v>
      </c>
      <c r="I68" s="35">
        <f>IF(G68&gt;0,VLOOKUP(A68,Wechsel!$A$11:$E$31,4),I67)</f>
        <v>0</v>
      </c>
      <c r="J68" s="35">
        <f>IF(G68&gt;0,VLOOKUP(A68,Wechsel!$A$11:$E$31,5),J67)</f>
        <v>1</v>
      </c>
      <c r="K68" s="52">
        <f t="shared" si="24"/>
        <v>0</v>
      </c>
      <c r="L68" s="53">
        <f t="shared" si="25"/>
        <v>0</v>
      </c>
      <c r="M68" s="54">
        <f t="shared" si="26"/>
        <v>0</v>
      </c>
      <c r="N68" s="59">
        <f t="shared" si="27"/>
        <v>1</v>
      </c>
      <c r="O68" s="53">
        <f t="shared" si="28"/>
        <v>0</v>
      </c>
      <c r="P68" s="52">
        <f>MAX(P67-Eingabe!$E$28,0)</f>
        <v>0</v>
      </c>
      <c r="Q68" s="60">
        <f t="shared" si="29"/>
        <v>0</v>
      </c>
      <c r="R68" s="60">
        <f t="shared" si="30"/>
        <v>0</v>
      </c>
      <c r="S68" s="60">
        <f>Eingabe!$C$25+Eingabe!$E$25*'Berechnung Ratierlich 4%'!F68</f>
        <v>39</v>
      </c>
      <c r="T68" s="4">
        <f t="shared" si="31"/>
        <v>-39</v>
      </c>
    </row>
    <row r="69" spans="1:20">
      <c r="A69" s="190">
        <v>59</v>
      </c>
      <c r="B69" s="3">
        <f t="shared" si="19"/>
        <v>0.01</v>
      </c>
      <c r="C69" s="40">
        <f t="shared" si="20"/>
        <v>0</v>
      </c>
      <c r="D69" s="40">
        <f t="shared" si="21"/>
        <v>0</v>
      </c>
      <c r="E69" s="47">
        <f t="shared" si="22"/>
        <v>0</v>
      </c>
      <c r="F69" s="47">
        <f t="shared" si="23"/>
        <v>0</v>
      </c>
      <c r="G69" s="190">
        <f>IF(VLOOKUP(A69,Wechsel!$A$11:$E$31,1)=A69,VLOOKUP(A69,Wechsel!$A$11:$E$31,1),0)</f>
        <v>0</v>
      </c>
      <c r="H69" s="35">
        <f>IF(G69&gt;0,VLOOKUP(A69,Wechsel!$A$11:$E$31,3),H68)</f>
        <v>0</v>
      </c>
      <c r="I69" s="35">
        <f>IF(G69&gt;0,VLOOKUP(A69,Wechsel!$A$11:$E$31,4),I68)</f>
        <v>0</v>
      </c>
      <c r="J69" s="35">
        <f>IF(G69&gt;0,VLOOKUP(A69,Wechsel!$A$11:$E$31,5),J68)</f>
        <v>1</v>
      </c>
      <c r="K69" s="52">
        <f t="shared" si="24"/>
        <v>0</v>
      </c>
      <c r="L69" s="53">
        <f t="shared" si="25"/>
        <v>0</v>
      </c>
      <c r="M69" s="54">
        <f t="shared" si="26"/>
        <v>0</v>
      </c>
      <c r="N69" s="59">
        <f t="shared" si="27"/>
        <v>1</v>
      </c>
      <c r="O69" s="53">
        <f t="shared" si="28"/>
        <v>0</v>
      </c>
      <c r="P69" s="52">
        <f>MAX(P68-Eingabe!$E$28,0)</f>
        <v>0</v>
      </c>
      <c r="Q69" s="60">
        <f t="shared" si="29"/>
        <v>0</v>
      </c>
      <c r="R69" s="60">
        <f t="shared" si="30"/>
        <v>0</v>
      </c>
      <c r="S69" s="60">
        <f>Eingabe!$C$25+Eingabe!$E$25*'Berechnung Ratierlich 4%'!F69</f>
        <v>39</v>
      </c>
      <c r="T69" s="4">
        <f t="shared" si="31"/>
        <v>-39</v>
      </c>
    </row>
    <row r="70" spans="1:20">
      <c r="A70" s="190">
        <v>60</v>
      </c>
      <c r="B70" s="3">
        <f t="shared" si="19"/>
        <v>0.01</v>
      </c>
      <c r="C70" s="40">
        <f t="shared" si="20"/>
        <v>0</v>
      </c>
      <c r="D70" s="40">
        <f t="shared" si="21"/>
        <v>0</v>
      </c>
      <c r="E70" s="47">
        <f t="shared" si="22"/>
        <v>0</v>
      </c>
      <c r="F70" s="47">
        <f t="shared" si="23"/>
        <v>0</v>
      </c>
      <c r="G70" s="190">
        <f>IF(VLOOKUP(A70,Wechsel!$A$11:$E$31,1)=A70,VLOOKUP(A70,Wechsel!$A$11:$E$31,1),0)</f>
        <v>0</v>
      </c>
      <c r="H70" s="35">
        <f>IF(G70&gt;0,VLOOKUP(A70,Wechsel!$A$11:$E$31,3),H69)</f>
        <v>0</v>
      </c>
      <c r="I70" s="35">
        <f>IF(G70&gt;0,VLOOKUP(A70,Wechsel!$A$11:$E$31,4),I69)</f>
        <v>0</v>
      </c>
      <c r="J70" s="35">
        <f>IF(G70&gt;0,VLOOKUP(A70,Wechsel!$A$11:$E$31,5),J69)</f>
        <v>1</v>
      </c>
      <c r="K70" s="52">
        <f t="shared" si="24"/>
        <v>0</v>
      </c>
      <c r="L70" s="53">
        <f t="shared" si="25"/>
        <v>0</v>
      </c>
      <c r="M70" s="54">
        <f t="shared" si="26"/>
        <v>0</v>
      </c>
      <c r="N70" s="59">
        <f t="shared" si="27"/>
        <v>1</v>
      </c>
      <c r="O70" s="53">
        <f t="shared" si="28"/>
        <v>0</v>
      </c>
      <c r="P70" s="52">
        <f>MAX(P69-Eingabe!$E$28,0)</f>
        <v>0</v>
      </c>
      <c r="Q70" s="60">
        <f t="shared" si="29"/>
        <v>0</v>
      </c>
      <c r="R70" s="60">
        <f t="shared" si="30"/>
        <v>0</v>
      </c>
      <c r="S70" s="60">
        <f>Eingabe!$C$25+Eingabe!$E$25*'Berechnung Ratierlich 4%'!F70</f>
        <v>39</v>
      </c>
      <c r="T70" s="4">
        <f t="shared" si="31"/>
        <v>-39</v>
      </c>
    </row>
  </sheetData>
  <mergeCells count="3">
    <mergeCell ref="F1:I1"/>
    <mergeCell ref="J1:J2"/>
    <mergeCell ref="J4:Q4"/>
  </mergeCells>
  <conditionalFormatting sqref="H1 H81:H1048576 G11:G80">
    <cfRule type="cellIs" dxfId="3" priority="1" operator="greaterThan">
      <formula>0</formula>
    </cfRule>
  </conditionalFormatting>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8"/>
  <dimension ref="A1:U70"/>
  <sheetViews>
    <sheetView showGridLines="0" topLeftCell="G1" zoomScale="85" zoomScaleNormal="85" workbookViewId="0">
      <pane ySplit="9" topLeftCell="A47" activePane="bottomLeft" state="frozen"/>
      <selection pane="bottomLeft" activeCell="K7" sqref="K7"/>
    </sheetView>
  </sheetViews>
  <sheetFormatPr baseColWidth="10" defaultColWidth="11.42578125" defaultRowHeight="15"/>
  <cols>
    <col min="1" max="1" width="11.5703125" style="27" bestFit="1" customWidth="1"/>
    <col min="2" max="2" width="17" style="144" bestFit="1" customWidth="1"/>
    <col min="3" max="3" width="13.140625" style="27" bestFit="1" customWidth="1"/>
    <col min="4" max="4" width="22.5703125" style="27" bestFit="1" customWidth="1"/>
    <col min="5" max="5" width="8" style="27" bestFit="1" customWidth="1"/>
    <col min="6" max="6" width="17" style="27" bestFit="1" customWidth="1"/>
    <col min="7" max="7" width="10.85546875" style="27" bestFit="1" customWidth="1"/>
    <col min="8" max="8" width="17.85546875" style="27" bestFit="1" customWidth="1"/>
    <col min="9" max="9" width="17.5703125" style="27" bestFit="1" customWidth="1"/>
    <col min="10" max="10" width="27.85546875" style="27" bestFit="1" customWidth="1"/>
    <col min="11" max="11" width="16.42578125" style="27" bestFit="1" customWidth="1"/>
    <col min="12" max="12" width="25.7109375" style="27" bestFit="1" customWidth="1"/>
    <col min="13" max="13" width="15.42578125" style="27" bestFit="1" customWidth="1"/>
    <col min="14" max="14" width="13.42578125" style="27" bestFit="1" customWidth="1"/>
    <col min="15" max="15" width="27.140625" style="27" bestFit="1" customWidth="1"/>
    <col min="16" max="16" width="20" style="27" bestFit="1" customWidth="1"/>
    <col min="17" max="17" width="13.7109375" style="60" customWidth="1"/>
    <col min="18" max="18" width="14.7109375" style="27" bestFit="1" customWidth="1"/>
    <col min="19" max="19" width="14.7109375" style="27" customWidth="1"/>
    <col min="20" max="20" width="15" style="27" bestFit="1" customWidth="1"/>
    <col min="21" max="21" width="18.7109375" style="27" bestFit="1" customWidth="1"/>
    <col min="22" max="16384" width="11.42578125" style="27"/>
  </cols>
  <sheetData>
    <row r="1" spans="1:21">
      <c r="A1" s="39" t="s">
        <v>0</v>
      </c>
      <c r="B1" s="5">
        <f>Hilfe!E3-Hilfe!G16</f>
        <v>0.06</v>
      </c>
      <c r="D1" s="3"/>
      <c r="F1" s="298" t="s">
        <v>10</v>
      </c>
      <c r="G1" s="299"/>
      <c r="H1" s="299"/>
      <c r="I1" s="300"/>
      <c r="J1" s="316"/>
      <c r="L1" s="27" t="s">
        <v>19</v>
      </c>
      <c r="M1" s="5">
        <f>Hilfe!E14</f>
        <v>0</v>
      </c>
      <c r="P1" s="5"/>
    </row>
    <row r="2" spans="1:21">
      <c r="A2" s="39" t="s">
        <v>62</v>
      </c>
      <c r="B2" s="1">
        <f>Eingabe!C10</f>
        <v>100000</v>
      </c>
      <c r="D2" s="1"/>
      <c r="F2" s="42"/>
      <c r="G2" s="29" t="s">
        <v>11</v>
      </c>
      <c r="H2" s="29" t="s">
        <v>12</v>
      </c>
      <c r="I2" s="43" t="s">
        <v>31</v>
      </c>
      <c r="J2" s="317"/>
      <c r="L2" s="27" t="s">
        <v>42</v>
      </c>
      <c r="M2" s="5">
        <f>'Berechnung Ratierlich heute'!M2</f>
        <v>0.26374999999999998</v>
      </c>
      <c r="P2" s="3"/>
    </row>
    <row r="3" spans="1:21" ht="15.75" thickBot="1">
      <c r="A3" s="39" t="s">
        <v>14</v>
      </c>
      <c r="B3" s="27">
        <f>Eingabe!C9</f>
        <v>12</v>
      </c>
      <c r="F3" s="55" t="s">
        <v>10</v>
      </c>
      <c r="G3" s="44">
        <f>Eingabe!C21</f>
        <v>0.01</v>
      </c>
      <c r="H3" s="44">
        <f>Eingabe!E21</f>
        <v>0.01</v>
      </c>
      <c r="I3" s="45">
        <f>Eingabe!G21</f>
        <v>0.01</v>
      </c>
      <c r="J3" s="64"/>
    </row>
    <row r="4" spans="1:21" ht="15.75" thickBot="1">
      <c r="F4" s="56" t="s">
        <v>32</v>
      </c>
      <c r="G4" s="46">
        <f>Eingabe!C22</f>
        <v>0.01</v>
      </c>
      <c r="H4" s="46">
        <f>Eingabe!E22</f>
        <v>0.01</v>
      </c>
      <c r="I4" s="46">
        <f>Eingabe!G22</f>
        <v>0.01</v>
      </c>
      <c r="J4" s="318" t="s">
        <v>48</v>
      </c>
      <c r="K4" s="319"/>
      <c r="L4" s="319"/>
      <c r="M4" s="319"/>
      <c r="N4" s="319"/>
      <c r="O4" s="319"/>
      <c r="P4" s="319"/>
      <c r="Q4" s="320"/>
    </row>
    <row r="5" spans="1:21" ht="15.75" thickBot="1">
      <c r="F5" s="57" t="s">
        <v>6</v>
      </c>
      <c r="G5" s="58">
        <v>0.3</v>
      </c>
      <c r="H5" s="58">
        <v>0.15</v>
      </c>
      <c r="I5" s="58">
        <v>0</v>
      </c>
      <c r="J5" s="66" t="s">
        <v>2</v>
      </c>
      <c r="K5" s="67" t="s">
        <v>47</v>
      </c>
      <c r="L5" s="67" t="s">
        <v>13</v>
      </c>
      <c r="M5" s="67" t="s">
        <v>119</v>
      </c>
      <c r="N5" s="67" t="s">
        <v>17</v>
      </c>
      <c r="O5" s="67" t="s">
        <v>43</v>
      </c>
      <c r="P5" s="67" t="s">
        <v>46</v>
      </c>
      <c r="Q5" s="71" t="s">
        <v>15</v>
      </c>
      <c r="R5" s="60"/>
    </row>
    <row r="6" spans="1:21" ht="15.75" thickBot="1">
      <c r="J6" s="68">
        <f>B3</f>
        <v>12</v>
      </c>
      <c r="K6" s="69">
        <f>MAX(VLOOKUP(J6,A11:AD70,20),0)</f>
        <v>164424.50798463292</v>
      </c>
      <c r="L6" s="69">
        <f>MAX(VLOOKUP(J6,A11:AD60,13),0)</f>
        <v>140250.95749092443</v>
      </c>
      <c r="M6" s="70">
        <f>VLOOKUP(J6,A11:AD60,14)</f>
        <v>1</v>
      </c>
      <c r="N6" s="69">
        <f>(K6-L6)*M6</f>
        <v>24173.550493708492</v>
      </c>
      <c r="O6" s="69">
        <f>VLOOKUP(J6,A11:AD60,12)</f>
        <v>0</v>
      </c>
      <c r="P6" s="69">
        <f>VLOOKUP(J6,A11:AD60,16)</f>
        <v>0</v>
      </c>
      <c r="Q6" s="72">
        <f>K6-(N6-P6-O6)*M2</f>
        <v>158048.73404191731</v>
      </c>
      <c r="R6" s="60"/>
    </row>
    <row r="9" spans="1:21">
      <c r="A9" s="32" t="s">
        <v>2</v>
      </c>
      <c r="B9" s="32" t="s">
        <v>10</v>
      </c>
      <c r="C9" s="32" t="s">
        <v>3</v>
      </c>
      <c r="D9" s="32" t="s">
        <v>45</v>
      </c>
      <c r="E9" s="32" t="s">
        <v>0</v>
      </c>
      <c r="F9" s="32" t="s">
        <v>7</v>
      </c>
      <c r="G9" s="32" t="s">
        <v>8</v>
      </c>
      <c r="H9" s="32" t="s">
        <v>4</v>
      </c>
      <c r="I9" s="32" t="s">
        <v>5</v>
      </c>
      <c r="J9" s="32" t="s">
        <v>31</v>
      </c>
      <c r="K9" s="32" t="s">
        <v>20</v>
      </c>
      <c r="L9" s="32" t="s">
        <v>43</v>
      </c>
      <c r="M9" s="32" t="s">
        <v>13</v>
      </c>
      <c r="N9" s="32" t="s">
        <v>6</v>
      </c>
      <c r="O9" s="32" t="s">
        <v>44</v>
      </c>
      <c r="P9" s="32" t="s">
        <v>46</v>
      </c>
      <c r="Q9" s="61" t="s">
        <v>9</v>
      </c>
      <c r="R9" s="32" t="s">
        <v>18</v>
      </c>
      <c r="S9" s="32" t="s">
        <v>52</v>
      </c>
      <c r="T9" s="32" t="s">
        <v>47</v>
      </c>
      <c r="U9" s="2"/>
    </row>
    <row r="10" spans="1:21">
      <c r="A10" s="51">
        <v>0</v>
      </c>
      <c r="B10" s="51"/>
      <c r="C10" s="2"/>
      <c r="D10" s="2"/>
      <c r="E10" s="2"/>
      <c r="F10" s="2"/>
      <c r="G10" s="2"/>
      <c r="H10" s="3">
        <f>Eingabe!C18</f>
        <v>1</v>
      </c>
      <c r="I10" s="3">
        <f>Eingabe!E18</f>
        <v>0</v>
      </c>
      <c r="J10" s="3">
        <f>Eingabe!G18</f>
        <v>0</v>
      </c>
      <c r="K10" s="3"/>
      <c r="L10" s="3"/>
      <c r="M10" s="3"/>
      <c r="N10" s="3"/>
      <c r="O10" s="3"/>
      <c r="P10" s="2"/>
      <c r="Q10" s="62"/>
      <c r="R10" s="2"/>
      <c r="S10" s="2"/>
      <c r="T10" s="2"/>
      <c r="U10" s="2"/>
    </row>
    <row r="11" spans="1:21">
      <c r="A11" s="27">
        <v>1</v>
      </c>
      <c r="B11" s="3">
        <f>$G$3*H10+$H$3*I10+$I$3*J10</f>
        <v>0.01</v>
      </c>
      <c r="C11" s="40">
        <f>IF($B$3&gt;=A11,$B$2,0)/(1+B11)</f>
        <v>99009.900990099006</v>
      </c>
      <c r="D11" s="40">
        <f>C11</f>
        <v>99009.900990099006</v>
      </c>
      <c r="E11" s="47">
        <f>C11*$B$1</f>
        <v>5940.5940594059402</v>
      </c>
      <c r="F11" s="47">
        <f>C11+E11</f>
        <v>104950.49504950494</v>
      </c>
      <c r="G11" s="27">
        <f>VLOOKUP(A11,Wechsel!$A$11:$E$31,1)</f>
        <v>0</v>
      </c>
      <c r="H11" s="35">
        <f>IF(G11&gt;0,VLOOKUP(A11,Wechsel!$A$11:$E$31,3),H10)</f>
        <v>1</v>
      </c>
      <c r="I11" s="35">
        <f>IF(G11&gt;0,VLOOKUP(A11,Wechsel!$A$11:$E$31,4),I10)</f>
        <v>0</v>
      </c>
      <c r="J11" s="35">
        <f>IF(G11&gt;0,VLOOKUP(A11,Wechsel!$A$11:$E$31,5),J10)</f>
        <v>0</v>
      </c>
      <c r="K11" s="52">
        <f>D11*$M$1*0.7*0.7*$M$2*H11+D11*$M$1*0.85*0.7*$M$2*I11+D11*$M$1*0.7*$M$2*J11</f>
        <v>0</v>
      </c>
      <c r="L11" s="53">
        <f>K11+L10</f>
        <v>0</v>
      </c>
      <c r="M11" s="54">
        <f>C11</f>
        <v>99009.900990099006</v>
      </c>
      <c r="N11" s="59">
        <f>1-(H11*$G$5+I11*$H$5+J11*$I$5)</f>
        <v>0.7</v>
      </c>
      <c r="O11" s="53">
        <f>IF(G11&gt;0,(F11-M11)*N11,0)</f>
        <v>0</v>
      </c>
      <c r="P11" s="52">
        <f>MAX(Eingabe!C28,0)</f>
        <v>0</v>
      </c>
      <c r="Q11" s="60">
        <f>MAX(0,K11+O11*$M$2-P11-IF(G11&gt;0,-(L10+K11),0))</f>
        <v>0</v>
      </c>
      <c r="R11" s="60">
        <f>MAX(IF(G11&gt;0,(H11*$G$4+I11*$H$4+J11*$I$4)*F11,0),0)</f>
        <v>0</v>
      </c>
      <c r="S11" s="60">
        <f>Eingabe!$C$25+Eingabe!$E$25*'Berechnung EB heute'!F11</f>
        <v>563.75247524752467</v>
      </c>
      <c r="T11" s="4">
        <f>F11-Q11-R11-S11</f>
        <v>104386.74257425741</v>
      </c>
    </row>
    <row r="12" spans="1:21">
      <c r="A12" s="27">
        <v>2</v>
      </c>
      <c r="B12" s="3">
        <f t="shared" ref="B12:B60" si="0">$G$3*H11+$H$3*I11+$I$3*J11</f>
        <v>0.01</v>
      </c>
      <c r="C12" s="40">
        <v>0</v>
      </c>
      <c r="D12" s="40">
        <f t="shared" ref="D12:D43" si="1">IF(A12&gt;$B$3,0,T11)</f>
        <v>104386.74257425741</v>
      </c>
      <c r="E12" s="47">
        <f t="shared" ref="E12:E43" si="2">(C12+D12)*$B$1</f>
        <v>6263.2045544554448</v>
      </c>
      <c r="F12" s="47">
        <f t="shared" ref="F12:F43" si="3">IF(A12&gt;$B$3,0,C12+E12+D12)</f>
        <v>110649.94712871285</v>
      </c>
      <c r="G12" s="27">
        <f>IF(VLOOKUP(A12,Wechsel!$A$11:$E$31,1)=A12,VLOOKUP(A12,Wechsel!$A$11:$E$31,1),0)</f>
        <v>0</v>
      </c>
      <c r="H12" s="35">
        <f>IF(G12&gt;0,VLOOKUP(A12,Wechsel!$A$11:$E$31,3),H11)</f>
        <v>1</v>
      </c>
      <c r="I12" s="35">
        <f>IF(G12&gt;0,VLOOKUP(A12,Wechsel!$A$11:$E$31,4),I11)</f>
        <v>0</v>
      </c>
      <c r="J12" s="35">
        <f>IF(G12&gt;0,VLOOKUP(A12,Wechsel!$A$11:$E$31,5),J11)</f>
        <v>0</v>
      </c>
      <c r="K12" s="52">
        <f>D12*$M$1*0.7*0.7*$M$2*H12+D12*$M$1*0.85*0.7*$M$2*I12+D12*$M$1*0.7*$M$2*J12</f>
        <v>0</v>
      </c>
      <c r="L12" s="53">
        <f>IF(G11&gt;0,K12,K12+L11)</f>
        <v>0</v>
      </c>
      <c r="M12" s="54">
        <f t="shared" ref="M12:M43" si="4">IF(A12&gt;$B$3,0,IF(G11&gt;0,T11,C12+M11))</f>
        <v>99009.900990099006</v>
      </c>
      <c r="N12" s="59">
        <f t="shared" ref="N12:N60" si="5">1-(H12*$G$5+I12*$H$5+J12*$I$5)</f>
        <v>0.7</v>
      </c>
      <c r="O12" s="53">
        <f>IF(G12&gt;0,(F12-M12)*N11,0)</f>
        <v>0</v>
      </c>
      <c r="P12" s="52">
        <f>MAX(P11-Eingabe!$E$28,0)</f>
        <v>0</v>
      </c>
      <c r="Q12" s="60">
        <f t="shared" ref="Q12:Q60" si="6">MAX(0,K12+O12*$M$2-P12-IF(G12&gt;0,-(L11+K12),0))</f>
        <v>0</v>
      </c>
      <c r="R12" s="60">
        <f t="shared" ref="R12:R18" si="7">MAX(IF(G12&gt;0,(H12*$G$4+I12*$H$4+J12*$I$4)*(F12-Q12),0),0)</f>
        <v>0</v>
      </c>
      <c r="S12" s="60">
        <f>Eingabe!$C$25+Eingabe!$E$25*'Berechnung EB heute'!F12</f>
        <v>592.24973564356424</v>
      </c>
      <c r="T12" s="4">
        <f t="shared" ref="T12:T60" si="8">F12-Q12-R12-S12</f>
        <v>110057.69739306929</v>
      </c>
    </row>
    <row r="13" spans="1:21">
      <c r="A13" s="27">
        <v>3</v>
      </c>
      <c r="B13" s="3">
        <f t="shared" si="0"/>
        <v>0.01</v>
      </c>
      <c r="C13" s="40">
        <v>0</v>
      </c>
      <c r="D13" s="40">
        <f t="shared" si="1"/>
        <v>110057.69739306929</v>
      </c>
      <c r="E13" s="47">
        <f t="shared" si="2"/>
        <v>6603.4618435841576</v>
      </c>
      <c r="F13" s="47">
        <f t="shared" si="3"/>
        <v>116661.15923665345</v>
      </c>
      <c r="G13" s="27">
        <f>IF(VLOOKUP(A13,Wechsel!$A$11:$E$31,1)=A13,VLOOKUP(A13,Wechsel!$A$11:$E$31,1),0)</f>
        <v>3</v>
      </c>
      <c r="H13" s="35">
        <f>IF(G13&gt;0,VLOOKUP(A13,Wechsel!$A$11:$E$31,3),H12)</f>
        <v>0.66666666666666674</v>
      </c>
      <c r="I13" s="35">
        <f>IF(G13&gt;0,VLOOKUP(A13,Wechsel!$A$11:$E$31,4),I12)</f>
        <v>0</v>
      </c>
      <c r="J13" s="35">
        <f>IF(G13&gt;0,VLOOKUP(A13,Wechsel!$A$11:$E$31,5),J12)</f>
        <v>0.33333333333333326</v>
      </c>
      <c r="K13" s="52">
        <f t="shared" ref="K13:K60" si="9">D13*$M$1*0.7*0.7*$M$2*H13+D13*$M$1*0.85*0.7*$M$2*I13+D13*$M$1*0.7*$M$2*J13</f>
        <v>0</v>
      </c>
      <c r="L13" s="53">
        <f t="shared" ref="L13:L60" si="10">IF(G12&gt;0,K13,K13+L12)</f>
        <v>0</v>
      </c>
      <c r="M13" s="54">
        <f t="shared" si="4"/>
        <v>99009.900990099006</v>
      </c>
      <c r="N13" s="59">
        <f t="shared" si="5"/>
        <v>0.8</v>
      </c>
      <c r="O13" s="53">
        <f t="shared" ref="O13:O60" si="11">IF(G13&gt;0,(F13-M13)*N12,0)</f>
        <v>12355.880772588107</v>
      </c>
      <c r="P13" s="52">
        <f>MAX(P12-Eingabe!$E$28,0)</f>
        <v>0</v>
      </c>
      <c r="Q13" s="60">
        <f t="shared" si="6"/>
        <v>3258.863553770113</v>
      </c>
      <c r="R13" s="60">
        <f t="shared" si="7"/>
        <v>1134.0229568288332</v>
      </c>
      <c r="S13" s="60">
        <f>Eingabe!$C$25+Eingabe!$E$25*'Berechnung EB heute'!F13</f>
        <v>622.30579618326726</v>
      </c>
      <c r="T13" s="4">
        <f t="shared" si="8"/>
        <v>111645.96692987123</v>
      </c>
    </row>
    <row r="14" spans="1:21">
      <c r="A14" s="27">
        <v>4</v>
      </c>
      <c r="B14" s="3">
        <f t="shared" si="0"/>
        <v>0.01</v>
      </c>
      <c r="C14" s="40">
        <v>0</v>
      </c>
      <c r="D14" s="40">
        <f t="shared" si="1"/>
        <v>111645.96692987123</v>
      </c>
      <c r="E14" s="47">
        <f t="shared" si="2"/>
        <v>6698.758015792273</v>
      </c>
      <c r="F14" s="47">
        <f t="shared" si="3"/>
        <v>118344.7249456635</v>
      </c>
      <c r="G14" s="27">
        <f>IF(VLOOKUP(A14,Wechsel!$A$11:$E$31,1)=A14,VLOOKUP(A14,Wechsel!$A$11:$E$31,1),0)</f>
        <v>0</v>
      </c>
      <c r="H14" s="35">
        <f>IF(G14&gt;0,VLOOKUP(A14,Wechsel!$A$11:$E$31,3),H13)</f>
        <v>0.66666666666666674</v>
      </c>
      <c r="I14" s="35">
        <f>IF(G14&gt;0,VLOOKUP(A14,Wechsel!$A$11:$E$31,4),I13)</f>
        <v>0</v>
      </c>
      <c r="J14" s="35">
        <f>IF(G14&gt;0,VLOOKUP(A14,Wechsel!$A$11:$E$31,5),J13)</f>
        <v>0.33333333333333326</v>
      </c>
      <c r="K14" s="52">
        <f t="shared" si="9"/>
        <v>0</v>
      </c>
      <c r="L14" s="53">
        <f t="shared" si="10"/>
        <v>0</v>
      </c>
      <c r="M14" s="54">
        <f t="shared" si="4"/>
        <v>111645.96692987123</v>
      </c>
      <c r="N14" s="59">
        <f t="shared" si="5"/>
        <v>0.8</v>
      </c>
      <c r="O14" s="53">
        <f t="shared" si="11"/>
        <v>0</v>
      </c>
      <c r="P14" s="52">
        <f>MAX(P13-Eingabe!$E$28,0)</f>
        <v>0</v>
      </c>
      <c r="Q14" s="60">
        <f t="shared" si="6"/>
        <v>0</v>
      </c>
      <c r="R14" s="60">
        <f t="shared" si="7"/>
        <v>0</v>
      </c>
      <c r="S14" s="60">
        <f>Eingabe!$C$25+Eingabe!$E$25*'Berechnung EB heute'!F14</f>
        <v>630.72362472831753</v>
      </c>
      <c r="T14" s="4">
        <f t="shared" si="8"/>
        <v>117714.00132093519</v>
      </c>
    </row>
    <row r="15" spans="1:21">
      <c r="A15" s="27">
        <v>5</v>
      </c>
      <c r="B15" s="3">
        <f t="shared" si="0"/>
        <v>0.01</v>
      </c>
      <c r="C15" s="40">
        <v>0</v>
      </c>
      <c r="D15" s="40">
        <f t="shared" si="1"/>
        <v>117714.00132093519</v>
      </c>
      <c r="E15" s="47">
        <f t="shared" si="2"/>
        <v>7062.8400792561115</v>
      </c>
      <c r="F15" s="47">
        <f t="shared" si="3"/>
        <v>124776.8414001913</v>
      </c>
      <c r="G15" s="27">
        <f>IF(VLOOKUP(A15,Wechsel!$A$11:$E$31,1)=A15,VLOOKUP(A15,Wechsel!$A$11:$E$31,1),0)</f>
        <v>0</v>
      </c>
      <c r="H15" s="35">
        <f>IF(G15&gt;0,VLOOKUP(A15,Wechsel!$A$11:$E$31,3),H14)</f>
        <v>0.66666666666666674</v>
      </c>
      <c r="I15" s="35">
        <f>IF(G15&gt;0,VLOOKUP(A15,Wechsel!$A$11:$E$31,4),I14)</f>
        <v>0</v>
      </c>
      <c r="J15" s="35">
        <f>IF(G15&gt;0,VLOOKUP(A15,Wechsel!$A$11:$E$31,5),J14)</f>
        <v>0.33333333333333326</v>
      </c>
      <c r="K15" s="52">
        <f t="shared" si="9"/>
        <v>0</v>
      </c>
      <c r="L15" s="53">
        <f t="shared" si="10"/>
        <v>0</v>
      </c>
      <c r="M15" s="54">
        <f t="shared" si="4"/>
        <v>111645.96692987123</v>
      </c>
      <c r="N15" s="59">
        <f t="shared" si="5"/>
        <v>0.8</v>
      </c>
      <c r="O15" s="53">
        <f t="shared" si="11"/>
        <v>0</v>
      </c>
      <c r="P15" s="52">
        <f>MAX(P14-Eingabe!$E$28,0)</f>
        <v>0</v>
      </c>
      <c r="Q15" s="60">
        <f t="shared" si="6"/>
        <v>0</v>
      </c>
      <c r="R15" s="60">
        <f t="shared" si="7"/>
        <v>0</v>
      </c>
      <c r="S15" s="60">
        <f>Eingabe!$C$25+Eingabe!$E$25*'Berechnung EB heute'!F15</f>
        <v>662.88420700095651</v>
      </c>
      <c r="T15" s="4">
        <f t="shared" si="8"/>
        <v>124113.95719319035</v>
      </c>
    </row>
    <row r="16" spans="1:21">
      <c r="A16" s="27">
        <v>6</v>
      </c>
      <c r="B16" s="3">
        <f t="shared" si="0"/>
        <v>0.01</v>
      </c>
      <c r="C16" s="40">
        <v>0</v>
      </c>
      <c r="D16" s="40">
        <f t="shared" si="1"/>
        <v>124113.95719319035</v>
      </c>
      <c r="E16" s="47">
        <f t="shared" si="2"/>
        <v>7446.8374315914207</v>
      </c>
      <c r="F16" s="47">
        <f t="shared" si="3"/>
        <v>131560.79462478176</v>
      </c>
      <c r="G16" s="27">
        <f>IF(VLOOKUP(A16,Wechsel!$A$11:$E$31,1)=A16,VLOOKUP(A16,Wechsel!$A$11:$E$31,1),0)</f>
        <v>6</v>
      </c>
      <c r="H16" s="35">
        <f>IF(G16&gt;0,VLOOKUP(A16,Wechsel!$A$11:$E$31,3),H15)</f>
        <v>0.33333333333333343</v>
      </c>
      <c r="I16" s="35">
        <f>IF(G16&gt;0,VLOOKUP(A16,Wechsel!$A$11:$E$31,4),I15)</f>
        <v>0</v>
      </c>
      <c r="J16" s="35">
        <f>IF(G16&gt;0,VLOOKUP(A16,Wechsel!$A$11:$E$31,5),J15)</f>
        <v>0.66666666666666652</v>
      </c>
      <c r="K16" s="52">
        <f t="shared" si="9"/>
        <v>0</v>
      </c>
      <c r="L16" s="53">
        <f t="shared" si="10"/>
        <v>0</v>
      </c>
      <c r="M16" s="54">
        <f t="shared" si="4"/>
        <v>111645.96692987123</v>
      </c>
      <c r="N16" s="59">
        <f t="shared" si="5"/>
        <v>0.9</v>
      </c>
      <c r="O16" s="53">
        <f t="shared" si="11"/>
        <v>15931.862155928429</v>
      </c>
      <c r="P16" s="52">
        <f>MAX(P15-Eingabe!$E$28,0)</f>
        <v>0</v>
      </c>
      <c r="Q16" s="60">
        <f t="shared" si="6"/>
        <v>4202.0286436261231</v>
      </c>
      <c r="R16" s="60">
        <f t="shared" si="7"/>
        <v>1273.5876598115565</v>
      </c>
      <c r="S16" s="60">
        <f>Eingabe!$C$25+Eingabe!$E$25*'Berechnung EB heute'!F16</f>
        <v>696.8039731239088</v>
      </c>
      <c r="T16" s="4">
        <f t="shared" si="8"/>
        <v>125388.37434822017</v>
      </c>
    </row>
    <row r="17" spans="1:20">
      <c r="A17" s="27">
        <v>7</v>
      </c>
      <c r="B17" s="3">
        <f t="shared" si="0"/>
        <v>0.01</v>
      </c>
      <c r="C17" s="40">
        <v>0</v>
      </c>
      <c r="D17" s="40">
        <f t="shared" si="1"/>
        <v>125388.37434822017</v>
      </c>
      <c r="E17" s="47">
        <f t="shared" si="2"/>
        <v>7523.3024608932101</v>
      </c>
      <c r="F17" s="47">
        <f t="shared" si="3"/>
        <v>132911.67680911339</v>
      </c>
      <c r="G17" s="27">
        <f>IF(VLOOKUP(A17,Wechsel!$A$11:$E$31,1)=A17,VLOOKUP(A17,Wechsel!$A$11:$E$31,1),0)</f>
        <v>0</v>
      </c>
      <c r="H17" s="35">
        <f>IF(G17&gt;0,VLOOKUP(A17,Wechsel!$A$11:$E$31,3),H16)</f>
        <v>0.33333333333333343</v>
      </c>
      <c r="I17" s="35">
        <f>IF(G17&gt;0,VLOOKUP(A17,Wechsel!$A$11:$E$31,4),I16)</f>
        <v>0</v>
      </c>
      <c r="J17" s="35">
        <f>IF(G17&gt;0,VLOOKUP(A17,Wechsel!$A$11:$E$31,5),J16)</f>
        <v>0.66666666666666652</v>
      </c>
      <c r="K17" s="52">
        <f t="shared" si="9"/>
        <v>0</v>
      </c>
      <c r="L17" s="53">
        <f t="shared" si="10"/>
        <v>0</v>
      </c>
      <c r="M17" s="54">
        <f t="shared" si="4"/>
        <v>125388.37434822017</v>
      </c>
      <c r="N17" s="59">
        <f t="shared" si="5"/>
        <v>0.9</v>
      </c>
      <c r="O17" s="53">
        <f t="shared" si="11"/>
        <v>0</v>
      </c>
      <c r="P17" s="52">
        <f>MAX(P16-Eingabe!$E$28,0)</f>
        <v>0</v>
      </c>
      <c r="Q17" s="60">
        <f t="shared" si="6"/>
        <v>0</v>
      </c>
      <c r="R17" s="60">
        <f t="shared" si="7"/>
        <v>0</v>
      </c>
      <c r="S17" s="60">
        <f>Eingabe!$C$25+Eingabe!$E$25*'Berechnung EB heute'!F17</f>
        <v>703.55838404556698</v>
      </c>
      <c r="T17" s="4">
        <f t="shared" si="8"/>
        <v>132208.11842506781</v>
      </c>
    </row>
    <row r="18" spans="1:20">
      <c r="A18" s="27">
        <v>8</v>
      </c>
      <c r="B18" s="3">
        <f t="shared" si="0"/>
        <v>0.01</v>
      </c>
      <c r="C18" s="40">
        <v>0</v>
      </c>
      <c r="D18" s="40">
        <f t="shared" si="1"/>
        <v>132208.11842506781</v>
      </c>
      <c r="E18" s="47">
        <f t="shared" si="2"/>
        <v>7932.4871055040676</v>
      </c>
      <c r="F18" s="47">
        <f t="shared" si="3"/>
        <v>140140.60553057186</v>
      </c>
      <c r="G18" s="27">
        <f>IF(VLOOKUP(A18,Wechsel!$A$11:$E$31,1)=A18,VLOOKUP(A18,Wechsel!$A$11:$E$31,1),0)</f>
        <v>0</v>
      </c>
      <c r="H18" s="35">
        <f>IF(G18&gt;0,VLOOKUP(A18,Wechsel!$A$11:$E$31,3),H17)</f>
        <v>0.33333333333333343</v>
      </c>
      <c r="I18" s="35">
        <f>IF(G18&gt;0,VLOOKUP(A18,Wechsel!$A$11:$E$31,4),I17)</f>
        <v>0</v>
      </c>
      <c r="J18" s="35">
        <f>IF(G18&gt;0,VLOOKUP(A18,Wechsel!$A$11:$E$31,5),J17)</f>
        <v>0.66666666666666652</v>
      </c>
      <c r="K18" s="52">
        <f t="shared" si="9"/>
        <v>0</v>
      </c>
      <c r="L18" s="53">
        <f t="shared" si="10"/>
        <v>0</v>
      </c>
      <c r="M18" s="54">
        <f t="shared" si="4"/>
        <v>125388.37434822017</v>
      </c>
      <c r="N18" s="59">
        <f t="shared" si="5"/>
        <v>0.9</v>
      </c>
      <c r="O18" s="53">
        <f t="shared" si="11"/>
        <v>0</v>
      </c>
      <c r="P18" s="52">
        <f>MAX(P17-Eingabe!$E$28,0)</f>
        <v>0</v>
      </c>
      <c r="Q18" s="60">
        <f t="shared" si="6"/>
        <v>0</v>
      </c>
      <c r="R18" s="60">
        <f t="shared" si="7"/>
        <v>0</v>
      </c>
      <c r="S18" s="60">
        <f>Eingabe!$C$25+Eingabe!$E$25*'Berechnung EB heute'!F18</f>
        <v>739.7030276528593</v>
      </c>
      <c r="T18" s="4">
        <f t="shared" si="8"/>
        <v>139400.90250291899</v>
      </c>
    </row>
    <row r="19" spans="1:20">
      <c r="A19" s="27">
        <v>9</v>
      </c>
      <c r="B19" s="3">
        <f t="shared" si="0"/>
        <v>0.01</v>
      </c>
      <c r="C19" s="40">
        <v>0</v>
      </c>
      <c r="D19" s="40">
        <f t="shared" si="1"/>
        <v>139400.90250291899</v>
      </c>
      <c r="E19" s="47">
        <f t="shared" si="2"/>
        <v>8364.0541501751395</v>
      </c>
      <c r="F19" s="47">
        <f t="shared" si="3"/>
        <v>147764.95665309412</v>
      </c>
      <c r="G19" s="27">
        <f>IF(VLOOKUP(A19,Wechsel!$A$11:$E$31,1)=A19,VLOOKUP(A19,Wechsel!$A$11:$E$31,1),0)</f>
        <v>9</v>
      </c>
      <c r="H19" s="35">
        <f>IF(G19&gt;0,VLOOKUP(A19,Wechsel!$A$11:$E$31,3),H18)</f>
        <v>0</v>
      </c>
      <c r="I19" s="35">
        <f>IF(G19&gt;0,VLOOKUP(A19,Wechsel!$A$11:$E$31,4),I18)</f>
        <v>0</v>
      </c>
      <c r="J19" s="35">
        <f>IF(G19&gt;0,VLOOKUP(A19,Wechsel!$A$11:$E$31,5),J18)</f>
        <v>1</v>
      </c>
      <c r="K19" s="52">
        <f t="shared" si="9"/>
        <v>0</v>
      </c>
      <c r="L19" s="53">
        <f t="shared" si="10"/>
        <v>0</v>
      </c>
      <c r="M19" s="54">
        <f t="shared" si="4"/>
        <v>125388.37434822017</v>
      </c>
      <c r="N19" s="59">
        <f t="shared" si="5"/>
        <v>1</v>
      </c>
      <c r="O19" s="53">
        <f t="shared" si="11"/>
        <v>20138.924074386559</v>
      </c>
      <c r="P19" s="52">
        <f>MAX(P18-Eingabe!$E$28,0)</f>
        <v>0</v>
      </c>
      <c r="Q19" s="60">
        <f t="shared" si="6"/>
        <v>5311.641224619455</v>
      </c>
      <c r="R19" s="60">
        <f>MAX(IF(G19&gt;0,(H19*$G$4+I19*$H$4+J19*$I$4)*(F19-Q19),0),0)</f>
        <v>1424.5331542847466</v>
      </c>
      <c r="S19" s="60">
        <f>Eingabe!$C$25+Eingabe!$E$25*'Berechnung EB heute'!F19</f>
        <v>777.82478326547061</v>
      </c>
      <c r="T19" s="4">
        <f t="shared" si="8"/>
        <v>140250.95749092443</v>
      </c>
    </row>
    <row r="20" spans="1:20">
      <c r="A20" s="27">
        <v>10</v>
      </c>
      <c r="B20" s="3">
        <f t="shared" si="0"/>
        <v>0.01</v>
      </c>
      <c r="C20" s="40">
        <v>0</v>
      </c>
      <c r="D20" s="40">
        <f t="shared" si="1"/>
        <v>140250.95749092443</v>
      </c>
      <c r="E20" s="47">
        <f t="shared" si="2"/>
        <v>8415.0574494554658</v>
      </c>
      <c r="F20" s="47">
        <f t="shared" si="3"/>
        <v>148666.01494037989</v>
      </c>
      <c r="G20" s="27">
        <f>IF(VLOOKUP(A20,Wechsel!$A$11:$E$31,1)=A20,VLOOKUP(A20,Wechsel!$A$11:$E$31,1),0)</f>
        <v>0</v>
      </c>
      <c r="H20" s="35">
        <f>IF(G20&gt;0,VLOOKUP(A20,Wechsel!$A$11:$E$31,3),H19)</f>
        <v>0</v>
      </c>
      <c r="I20" s="35">
        <f>IF(G20&gt;0,VLOOKUP(A20,Wechsel!$A$11:$E$31,4),I19)</f>
        <v>0</v>
      </c>
      <c r="J20" s="35">
        <f>IF(G20&gt;0,VLOOKUP(A20,Wechsel!$A$11:$E$31,5),J19)</f>
        <v>1</v>
      </c>
      <c r="K20" s="52">
        <f t="shared" si="9"/>
        <v>0</v>
      </c>
      <c r="L20" s="53">
        <f t="shared" si="10"/>
        <v>0</v>
      </c>
      <c r="M20" s="54">
        <f t="shared" si="4"/>
        <v>140250.95749092443</v>
      </c>
      <c r="N20" s="59">
        <f t="shared" si="5"/>
        <v>1</v>
      </c>
      <c r="O20" s="53">
        <f t="shared" si="11"/>
        <v>0</v>
      </c>
      <c r="P20" s="52">
        <f>MAX(P19-Eingabe!$E$28,0)</f>
        <v>0</v>
      </c>
      <c r="Q20" s="60">
        <f t="shared" si="6"/>
        <v>0</v>
      </c>
      <c r="R20" s="60">
        <f t="shared" ref="R20:R60" si="12">MAX(IF(G20&gt;0,(H20*$G$4+I20*$H$4+J20*$I$4)*(F20-Q20),0),0)</f>
        <v>0</v>
      </c>
      <c r="S20" s="60">
        <f>Eingabe!$C$25+Eingabe!$E$25*'Berechnung EB heute'!F20</f>
        <v>782.33007470189943</v>
      </c>
      <c r="T20" s="4">
        <f t="shared" si="8"/>
        <v>147883.68486567799</v>
      </c>
    </row>
    <row r="21" spans="1:20">
      <c r="A21" s="27">
        <v>11</v>
      </c>
      <c r="B21" s="3">
        <f t="shared" si="0"/>
        <v>0.01</v>
      </c>
      <c r="C21" s="40">
        <v>0</v>
      </c>
      <c r="D21" s="40">
        <f t="shared" si="1"/>
        <v>147883.68486567799</v>
      </c>
      <c r="E21" s="47">
        <f t="shared" si="2"/>
        <v>8873.02109194068</v>
      </c>
      <c r="F21" s="47">
        <f t="shared" si="3"/>
        <v>156756.70595761866</v>
      </c>
      <c r="G21" s="27">
        <f>IF(VLOOKUP(A21,Wechsel!$A$11:$E$31,1)=A21,VLOOKUP(A21,Wechsel!$A$11:$E$31,1),0)</f>
        <v>0</v>
      </c>
      <c r="H21" s="35">
        <f>IF(G21&gt;0,VLOOKUP(A21,Wechsel!$A$11:$E$31,3),H20)</f>
        <v>0</v>
      </c>
      <c r="I21" s="35">
        <f>IF(G21&gt;0,VLOOKUP(A21,Wechsel!$A$11:$E$31,4),I20)</f>
        <v>0</v>
      </c>
      <c r="J21" s="35">
        <f>IF(G21&gt;0,VLOOKUP(A21,Wechsel!$A$11:$E$31,5),J20)</f>
        <v>1</v>
      </c>
      <c r="K21" s="52">
        <f t="shared" si="9"/>
        <v>0</v>
      </c>
      <c r="L21" s="53">
        <f t="shared" si="10"/>
        <v>0</v>
      </c>
      <c r="M21" s="54">
        <f t="shared" si="4"/>
        <v>140250.95749092443</v>
      </c>
      <c r="N21" s="59">
        <f t="shared" si="5"/>
        <v>1</v>
      </c>
      <c r="O21" s="53">
        <f t="shared" si="11"/>
        <v>0</v>
      </c>
      <c r="P21" s="52">
        <f>MAX(P20-Eingabe!$E$28,0)</f>
        <v>0</v>
      </c>
      <c r="Q21" s="60">
        <f t="shared" si="6"/>
        <v>0</v>
      </c>
      <c r="R21" s="60">
        <f t="shared" si="12"/>
        <v>0</v>
      </c>
      <c r="S21" s="60">
        <f>Eingabe!$C$25+Eingabe!$E$25*'Berechnung EB heute'!F21</f>
        <v>822.78352978809335</v>
      </c>
      <c r="T21" s="4">
        <f t="shared" si="8"/>
        <v>155933.92242783058</v>
      </c>
    </row>
    <row r="22" spans="1:20">
      <c r="A22" s="27">
        <v>12</v>
      </c>
      <c r="B22" s="3">
        <f t="shared" si="0"/>
        <v>0.01</v>
      </c>
      <c r="C22" s="40">
        <v>0</v>
      </c>
      <c r="D22" s="40">
        <f t="shared" si="1"/>
        <v>155933.92242783058</v>
      </c>
      <c r="E22" s="47">
        <f t="shared" si="2"/>
        <v>9356.035345669834</v>
      </c>
      <c r="F22" s="47">
        <f t="shared" si="3"/>
        <v>165289.95777350041</v>
      </c>
      <c r="G22" s="27">
        <f>IF(VLOOKUP(A22,Wechsel!$A$11:$E$31,1)=A22,VLOOKUP(A22,Wechsel!$A$11:$E$31,1),0)</f>
        <v>0</v>
      </c>
      <c r="H22" s="35">
        <f>IF(G22&gt;0,VLOOKUP(A22,Wechsel!$A$11:$E$31,3),H21)</f>
        <v>0</v>
      </c>
      <c r="I22" s="35">
        <f>IF(G22&gt;0,VLOOKUP(A22,Wechsel!$A$11:$E$31,4),I21)</f>
        <v>0</v>
      </c>
      <c r="J22" s="35">
        <f>IF(G22&gt;0,VLOOKUP(A22,Wechsel!$A$11:$E$31,5),J21)</f>
        <v>1</v>
      </c>
      <c r="K22" s="52">
        <f t="shared" si="9"/>
        <v>0</v>
      </c>
      <c r="L22" s="53">
        <f t="shared" si="10"/>
        <v>0</v>
      </c>
      <c r="M22" s="54">
        <f t="shared" si="4"/>
        <v>140250.95749092443</v>
      </c>
      <c r="N22" s="59">
        <f t="shared" si="5"/>
        <v>1</v>
      </c>
      <c r="O22" s="53">
        <f t="shared" si="11"/>
        <v>0</v>
      </c>
      <c r="P22" s="52">
        <f>MAX(P21-Eingabe!$E$28,0)</f>
        <v>0</v>
      </c>
      <c r="Q22" s="60">
        <f t="shared" si="6"/>
        <v>0</v>
      </c>
      <c r="R22" s="60">
        <f t="shared" si="12"/>
        <v>0</v>
      </c>
      <c r="S22" s="60">
        <f>Eingabe!$C$25+Eingabe!$E$25*'Berechnung EB heute'!F22</f>
        <v>865.44978886750209</v>
      </c>
      <c r="T22" s="4">
        <f t="shared" si="8"/>
        <v>164424.50798463292</v>
      </c>
    </row>
    <row r="23" spans="1:20">
      <c r="A23" s="27">
        <v>13</v>
      </c>
      <c r="B23" s="3">
        <f t="shared" si="0"/>
        <v>0.01</v>
      </c>
      <c r="C23" s="40">
        <v>0</v>
      </c>
      <c r="D23" s="40">
        <f t="shared" si="1"/>
        <v>0</v>
      </c>
      <c r="E23" s="47">
        <f t="shared" si="2"/>
        <v>0</v>
      </c>
      <c r="F23" s="47">
        <f t="shared" si="3"/>
        <v>0</v>
      </c>
      <c r="G23" s="27">
        <f>IF(VLOOKUP(A23,Wechsel!$A$11:$E$31,1)=A23,VLOOKUP(A23,Wechsel!$A$11:$E$31,1),0)</f>
        <v>0</v>
      </c>
      <c r="H23" s="35">
        <f>IF(G23&gt;0,VLOOKUP(A23,Wechsel!$A$11:$E$31,3),H22)</f>
        <v>0</v>
      </c>
      <c r="I23" s="35">
        <f>IF(G23&gt;0,VLOOKUP(A23,Wechsel!$A$11:$E$31,4),I22)</f>
        <v>0</v>
      </c>
      <c r="J23" s="35">
        <f>IF(G23&gt;0,VLOOKUP(A23,Wechsel!$A$11:$E$31,5),J22)</f>
        <v>1</v>
      </c>
      <c r="K23" s="52">
        <f t="shared" si="9"/>
        <v>0</v>
      </c>
      <c r="L23" s="53">
        <f t="shared" si="10"/>
        <v>0</v>
      </c>
      <c r="M23" s="54">
        <f t="shared" si="4"/>
        <v>0</v>
      </c>
      <c r="N23" s="59">
        <f t="shared" si="5"/>
        <v>1</v>
      </c>
      <c r="O23" s="53">
        <f t="shared" si="11"/>
        <v>0</v>
      </c>
      <c r="P23" s="52">
        <f>MAX(P22-Eingabe!$E$28,0)</f>
        <v>0</v>
      </c>
      <c r="Q23" s="60">
        <f t="shared" si="6"/>
        <v>0</v>
      </c>
      <c r="R23" s="60">
        <f t="shared" si="12"/>
        <v>0</v>
      </c>
      <c r="S23" s="60">
        <f>Eingabe!$C$25+Eingabe!$E$25*'Berechnung EB heute'!F23</f>
        <v>39</v>
      </c>
      <c r="T23" s="4">
        <f t="shared" si="8"/>
        <v>-39</v>
      </c>
    </row>
    <row r="24" spans="1:20">
      <c r="A24" s="27">
        <v>14</v>
      </c>
      <c r="B24" s="3">
        <f t="shared" si="0"/>
        <v>0.01</v>
      </c>
      <c r="C24" s="40">
        <v>0</v>
      </c>
      <c r="D24" s="40">
        <f t="shared" si="1"/>
        <v>0</v>
      </c>
      <c r="E24" s="47">
        <f t="shared" si="2"/>
        <v>0</v>
      </c>
      <c r="F24" s="47">
        <f t="shared" si="3"/>
        <v>0</v>
      </c>
      <c r="G24" s="27">
        <f>IF(VLOOKUP(A24,Wechsel!$A$11:$E$31,1)=A24,VLOOKUP(A24,Wechsel!$A$11:$E$31,1),0)</f>
        <v>0</v>
      </c>
      <c r="H24" s="35">
        <f>IF(G24&gt;0,VLOOKUP(A24,Wechsel!$A$11:$E$31,3),H23)</f>
        <v>0</v>
      </c>
      <c r="I24" s="35">
        <f>IF(G24&gt;0,VLOOKUP(A24,Wechsel!$A$11:$E$31,4),I23)</f>
        <v>0</v>
      </c>
      <c r="J24" s="35">
        <f>IF(G24&gt;0,VLOOKUP(A24,Wechsel!$A$11:$E$31,5),J23)</f>
        <v>1</v>
      </c>
      <c r="K24" s="52">
        <f t="shared" si="9"/>
        <v>0</v>
      </c>
      <c r="L24" s="53">
        <f t="shared" si="10"/>
        <v>0</v>
      </c>
      <c r="M24" s="54">
        <f t="shared" si="4"/>
        <v>0</v>
      </c>
      <c r="N24" s="59">
        <f t="shared" si="5"/>
        <v>1</v>
      </c>
      <c r="O24" s="53">
        <f t="shared" si="11"/>
        <v>0</v>
      </c>
      <c r="P24" s="52">
        <f>MAX(P23-Eingabe!$E$28,0)</f>
        <v>0</v>
      </c>
      <c r="Q24" s="60">
        <f t="shared" si="6"/>
        <v>0</v>
      </c>
      <c r="R24" s="60">
        <f t="shared" si="12"/>
        <v>0</v>
      </c>
      <c r="S24" s="60">
        <f>Eingabe!$C$25+Eingabe!$E$25*'Berechnung EB heute'!F24</f>
        <v>39</v>
      </c>
      <c r="T24" s="4">
        <f t="shared" si="8"/>
        <v>-39</v>
      </c>
    </row>
    <row r="25" spans="1:20">
      <c r="A25" s="27">
        <v>15</v>
      </c>
      <c r="B25" s="3">
        <f t="shared" si="0"/>
        <v>0.01</v>
      </c>
      <c r="C25" s="40">
        <v>0</v>
      </c>
      <c r="D25" s="40">
        <f t="shared" si="1"/>
        <v>0</v>
      </c>
      <c r="E25" s="47">
        <f t="shared" si="2"/>
        <v>0</v>
      </c>
      <c r="F25" s="47">
        <f t="shared" si="3"/>
        <v>0</v>
      </c>
      <c r="G25" s="27">
        <f>IF(VLOOKUP(A25,Wechsel!$A$11:$E$31,1)=A25,VLOOKUP(A25,Wechsel!$A$11:$E$31,1),0)</f>
        <v>0</v>
      </c>
      <c r="H25" s="35">
        <f>IF(G25&gt;0,VLOOKUP(A25,Wechsel!$A$11:$E$31,3),H24)</f>
        <v>0</v>
      </c>
      <c r="I25" s="35">
        <f>IF(G25&gt;0,VLOOKUP(A25,Wechsel!$A$11:$E$31,4),I24)</f>
        <v>0</v>
      </c>
      <c r="J25" s="35">
        <f>IF(G25&gt;0,VLOOKUP(A25,Wechsel!$A$11:$E$31,5),J24)</f>
        <v>1</v>
      </c>
      <c r="K25" s="52">
        <f t="shared" si="9"/>
        <v>0</v>
      </c>
      <c r="L25" s="53">
        <f t="shared" si="10"/>
        <v>0</v>
      </c>
      <c r="M25" s="54">
        <f t="shared" si="4"/>
        <v>0</v>
      </c>
      <c r="N25" s="59">
        <f t="shared" si="5"/>
        <v>1</v>
      </c>
      <c r="O25" s="53">
        <f t="shared" si="11"/>
        <v>0</v>
      </c>
      <c r="P25" s="52">
        <f>MAX(P24-Eingabe!$E$28,0)</f>
        <v>0</v>
      </c>
      <c r="Q25" s="60">
        <f t="shared" si="6"/>
        <v>0</v>
      </c>
      <c r="R25" s="60">
        <f t="shared" si="12"/>
        <v>0</v>
      </c>
      <c r="S25" s="60">
        <f>Eingabe!$C$25+Eingabe!$E$25*'Berechnung EB heute'!F25</f>
        <v>39</v>
      </c>
      <c r="T25" s="4">
        <f t="shared" si="8"/>
        <v>-39</v>
      </c>
    </row>
    <row r="26" spans="1:20">
      <c r="A26" s="27">
        <v>16</v>
      </c>
      <c r="B26" s="3">
        <f t="shared" si="0"/>
        <v>0.01</v>
      </c>
      <c r="C26" s="40">
        <v>0</v>
      </c>
      <c r="D26" s="40">
        <f t="shared" si="1"/>
        <v>0</v>
      </c>
      <c r="E26" s="47">
        <f t="shared" si="2"/>
        <v>0</v>
      </c>
      <c r="F26" s="47">
        <f t="shared" si="3"/>
        <v>0</v>
      </c>
      <c r="G26" s="27">
        <f>IF(VLOOKUP(A26,Wechsel!$A$11:$E$31,1)=A26,VLOOKUP(A26,Wechsel!$A$11:$E$31,1),0)</f>
        <v>0</v>
      </c>
      <c r="H26" s="35">
        <f>IF(G26&gt;0,VLOOKUP(A26,Wechsel!$A$11:$E$31,3),H25)</f>
        <v>0</v>
      </c>
      <c r="I26" s="35">
        <f>IF(G26&gt;0,VLOOKUP(A26,Wechsel!$A$11:$E$31,4),I25)</f>
        <v>0</v>
      </c>
      <c r="J26" s="35">
        <f>IF(G26&gt;0,VLOOKUP(A26,Wechsel!$A$11:$E$31,5),J25)</f>
        <v>1</v>
      </c>
      <c r="K26" s="52">
        <f t="shared" si="9"/>
        <v>0</v>
      </c>
      <c r="L26" s="53">
        <f t="shared" si="10"/>
        <v>0</v>
      </c>
      <c r="M26" s="54">
        <f t="shared" si="4"/>
        <v>0</v>
      </c>
      <c r="N26" s="59">
        <f t="shared" si="5"/>
        <v>1</v>
      </c>
      <c r="O26" s="53">
        <f t="shared" si="11"/>
        <v>0</v>
      </c>
      <c r="P26" s="52">
        <f>MAX(P25-Eingabe!$E$28,0)</f>
        <v>0</v>
      </c>
      <c r="Q26" s="60">
        <f t="shared" si="6"/>
        <v>0</v>
      </c>
      <c r="R26" s="60">
        <f t="shared" si="12"/>
        <v>0</v>
      </c>
      <c r="S26" s="60">
        <f>Eingabe!$C$25+Eingabe!$E$25*'Berechnung EB heute'!F26</f>
        <v>39</v>
      </c>
      <c r="T26" s="4">
        <f t="shared" si="8"/>
        <v>-39</v>
      </c>
    </row>
    <row r="27" spans="1:20">
      <c r="A27" s="27">
        <v>17</v>
      </c>
      <c r="B27" s="3">
        <f t="shared" si="0"/>
        <v>0.01</v>
      </c>
      <c r="C27" s="40">
        <v>0</v>
      </c>
      <c r="D27" s="40">
        <f t="shared" si="1"/>
        <v>0</v>
      </c>
      <c r="E27" s="47">
        <f t="shared" si="2"/>
        <v>0</v>
      </c>
      <c r="F27" s="47">
        <f t="shared" si="3"/>
        <v>0</v>
      </c>
      <c r="G27" s="27">
        <f>IF(VLOOKUP(A27,Wechsel!$A$11:$E$31,1)=A27,VLOOKUP(A27,Wechsel!$A$11:$E$31,1),0)</f>
        <v>0</v>
      </c>
      <c r="H27" s="35">
        <f>IF(G27&gt;0,VLOOKUP(A27,Wechsel!$A$11:$E$31,3),H26)</f>
        <v>0</v>
      </c>
      <c r="I27" s="35">
        <f>IF(G27&gt;0,VLOOKUP(A27,Wechsel!$A$11:$E$31,4),I26)</f>
        <v>0</v>
      </c>
      <c r="J27" s="35">
        <f>IF(G27&gt;0,VLOOKUP(A27,Wechsel!$A$11:$E$31,5),J26)</f>
        <v>1</v>
      </c>
      <c r="K27" s="52">
        <f t="shared" si="9"/>
        <v>0</v>
      </c>
      <c r="L27" s="53">
        <f t="shared" si="10"/>
        <v>0</v>
      </c>
      <c r="M27" s="54">
        <f t="shared" si="4"/>
        <v>0</v>
      </c>
      <c r="N27" s="59">
        <f t="shared" si="5"/>
        <v>1</v>
      </c>
      <c r="O27" s="53">
        <f t="shared" si="11"/>
        <v>0</v>
      </c>
      <c r="P27" s="52">
        <f>MAX(P26-Eingabe!$E$28,0)</f>
        <v>0</v>
      </c>
      <c r="Q27" s="60">
        <f t="shared" si="6"/>
        <v>0</v>
      </c>
      <c r="R27" s="60">
        <f t="shared" si="12"/>
        <v>0</v>
      </c>
      <c r="S27" s="60">
        <f>Eingabe!$C$25+Eingabe!$E$25*'Berechnung EB heute'!F27</f>
        <v>39</v>
      </c>
      <c r="T27" s="4">
        <f t="shared" si="8"/>
        <v>-39</v>
      </c>
    </row>
    <row r="28" spans="1:20">
      <c r="A28" s="27">
        <v>18</v>
      </c>
      <c r="B28" s="3">
        <f t="shared" si="0"/>
        <v>0.01</v>
      </c>
      <c r="C28" s="40">
        <v>0</v>
      </c>
      <c r="D28" s="40">
        <f t="shared" si="1"/>
        <v>0</v>
      </c>
      <c r="E28" s="47">
        <f t="shared" si="2"/>
        <v>0</v>
      </c>
      <c r="F28" s="47">
        <f t="shared" si="3"/>
        <v>0</v>
      </c>
      <c r="G28" s="27">
        <f>IF(VLOOKUP(A28,Wechsel!$A$11:$E$31,1)=A28,VLOOKUP(A28,Wechsel!$A$11:$E$31,1),0)</f>
        <v>0</v>
      </c>
      <c r="H28" s="35">
        <f>IF(G28&gt;0,VLOOKUP(A28,Wechsel!$A$11:$E$31,3),H27)</f>
        <v>0</v>
      </c>
      <c r="I28" s="35">
        <f>IF(G28&gt;0,VLOOKUP(A28,Wechsel!$A$11:$E$31,4),I27)</f>
        <v>0</v>
      </c>
      <c r="J28" s="35">
        <f>IF(G28&gt;0,VLOOKUP(A28,Wechsel!$A$11:$E$31,5),J27)</f>
        <v>1</v>
      </c>
      <c r="K28" s="52">
        <f t="shared" si="9"/>
        <v>0</v>
      </c>
      <c r="L28" s="53">
        <f t="shared" si="10"/>
        <v>0</v>
      </c>
      <c r="M28" s="54">
        <f t="shared" si="4"/>
        <v>0</v>
      </c>
      <c r="N28" s="59">
        <f t="shared" si="5"/>
        <v>1</v>
      </c>
      <c r="O28" s="53">
        <f t="shared" si="11"/>
        <v>0</v>
      </c>
      <c r="P28" s="52">
        <f>MAX(P27-Eingabe!$E$28,0)</f>
        <v>0</v>
      </c>
      <c r="Q28" s="60">
        <f t="shared" si="6"/>
        <v>0</v>
      </c>
      <c r="R28" s="60">
        <f t="shared" si="12"/>
        <v>0</v>
      </c>
      <c r="S28" s="60">
        <f>Eingabe!$C$25+Eingabe!$E$25*'Berechnung EB heute'!F28</f>
        <v>39</v>
      </c>
      <c r="T28" s="4">
        <f t="shared" si="8"/>
        <v>-39</v>
      </c>
    </row>
    <row r="29" spans="1:20">
      <c r="A29" s="27">
        <v>19</v>
      </c>
      <c r="B29" s="3">
        <f t="shared" si="0"/>
        <v>0.01</v>
      </c>
      <c r="C29" s="40">
        <v>0</v>
      </c>
      <c r="D29" s="40">
        <f t="shared" si="1"/>
        <v>0</v>
      </c>
      <c r="E29" s="47">
        <f t="shared" si="2"/>
        <v>0</v>
      </c>
      <c r="F29" s="47">
        <f t="shared" si="3"/>
        <v>0</v>
      </c>
      <c r="G29" s="27">
        <f>IF(VLOOKUP(A29,Wechsel!$A$11:$E$31,1)=A29,VLOOKUP(A29,Wechsel!$A$11:$E$31,1),0)</f>
        <v>0</v>
      </c>
      <c r="H29" s="35">
        <f>IF(G29&gt;0,VLOOKUP(A29,Wechsel!$A$11:$E$31,3),H28)</f>
        <v>0</v>
      </c>
      <c r="I29" s="35">
        <f>IF(G29&gt;0,VLOOKUP(A29,Wechsel!$A$11:$E$31,4),I28)</f>
        <v>0</v>
      </c>
      <c r="J29" s="35">
        <f>IF(G29&gt;0,VLOOKUP(A29,Wechsel!$A$11:$E$31,5),J28)</f>
        <v>1</v>
      </c>
      <c r="K29" s="52">
        <f t="shared" si="9"/>
        <v>0</v>
      </c>
      <c r="L29" s="53">
        <f t="shared" si="10"/>
        <v>0</v>
      </c>
      <c r="M29" s="54">
        <f t="shared" si="4"/>
        <v>0</v>
      </c>
      <c r="N29" s="59">
        <f t="shared" si="5"/>
        <v>1</v>
      </c>
      <c r="O29" s="53">
        <f t="shared" si="11"/>
        <v>0</v>
      </c>
      <c r="P29" s="52">
        <f>MAX(P28-Eingabe!$E$28,0)</f>
        <v>0</v>
      </c>
      <c r="Q29" s="60">
        <f t="shared" si="6"/>
        <v>0</v>
      </c>
      <c r="R29" s="60">
        <f t="shared" si="12"/>
        <v>0</v>
      </c>
      <c r="S29" s="60">
        <f>Eingabe!$C$25+Eingabe!$E$25*'Berechnung EB heute'!F29</f>
        <v>39</v>
      </c>
      <c r="T29" s="4">
        <f t="shared" si="8"/>
        <v>-39</v>
      </c>
    </row>
    <row r="30" spans="1:20">
      <c r="A30" s="27">
        <v>20</v>
      </c>
      <c r="B30" s="3">
        <f t="shared" si="0"/>
        <v>0.01</v>
      </c>
      <c r="C30" s="40">
        <v>0</v>
      </c>
      <c r="D30" s="40">
        <f t="shared" si="1"/>
        <v>0</v>
      </c>
      <c r="E30" s="47">
        <f t="shared" si="2"/>
        <v>0</v>
      </c>
      <c r="F30" s="47">
        <f t="shared" si="3"/>
        <v>0</v>
      </c>
      <c r="G30" s="27">
        <f>IF(VLOOKUP(A30,Wechsel!$A$11:$E$31,1)=A30,VLOOKUP(A30,Wechsel!$A$11:$E$31,1),0)</f>
        <v>0</v>
      </c>
      <c r="H30" s="35">
        <f>IF(G30&gt;0,VLOOKUP(A30,Wechsel!$A$11:$E$31,3),H29)</f>
        <v>0</v>
      </c>
      <c r="I30" s="35">
        <f>IF(G30&gt;0,VLOOKUP(A30,Wechsel!$A$11:$E$31,4),I29)</f>
        <v>0</v>
      </c>
      <c r="J30" s="35">
        <f>IF(G30&gt;0,VLOOKUP(A30,Wechsel!$A$11:$E$31,5),J29)</f>
        <v>1</v>
      </c>
      <c r="K30" s="52">
        <f t="shared" si="9"/>
        <v>0</v>
      </c>
      <c r="L30" s="53">
        <f t="shared" si="10"/>
        <v>0</v>
      </c>
      <c r="M30" s="54">
        <f t="shared" si="4"/>
        <v>0</v>
      </c>
      <c r="N30" s="59">
        <f t="shared" si="5"/>
        <v>1</v>
      </c>
      <c r="O30" s="53">
        <f t="shared" si="11"/>
        <v>0</v>
      </c>
      <c r="P30" s="52">
        <f>MAX(P29-Eingabe!$E$28,0)</f>
        <v>0</v>
      </c>
      <c r="Q30" s="60">
        <f t="shared" si="6"/>
        <v>0</v>
      </c>
      <c r="R30" s="60">
        <f t="shared" si="12"/>
        <v>0</v>
      </c>
      <c r="S30" s="60">
        <f>Eingabe!$C$25+Eingabe!$E$25*'Berechnung EB heute'!F30</f>
        <v>39</v>
      </c>
      <c r="T30" s="4">
        <f t="shared" si="8"/>
        <v>-39</v>
      </c>
    </row>
    <row r="31" spans="1:20">
      <c r="A31" s="27">
        <v>21</v>
      </c>
      <c r="B31" s="3">
        <f t="shared" si="0"/>
        <v>0.01</v>
      </c>
      <c r="C31" s="40">
        <v>0</v>
      </c>
      <c r="D31" s="40">
        <f t="shared" si="1"/>
        <v>0</v>
      </c>
      <c r="E31" s="47">
        <f t="shared" si="2"/>
        <v>0</v>
      </c>
      <c r="F31" s="47">
        <f t="shared" si="3"/>
        <v>0</v>
      </c>
      <c r="G31" s="27">
        <f>IF(VLOOKUP(A31,Wechsel!$A$11:$E$31,1)=A31,VLOOKUP(A31,Wechsel!$A$11:$E$31,1),0)</f>
        <v>0</v>
      </c>
      <c r="H31" s="35">
        <f>IF(G31&gt;0,VLOOKUP(A31,Wechsel!$A$11:$E$31,3),H30)</f>
        <v>0</v>
      </c>
      <c r="I31" s="35">
        <f>IF(G31&gt;0,VLOOKUP(A31,Wechsel!$A$11:$E$31,4),I30)</f>
        <v>0</v>
      </c>
      <c r="J31" s="35">
        <f>IF(G31&gt;0,VLOOKUP(A31,Wechsel!$A$11:$E$31,5),J30)</f>
        <v>1</v>
      </c>
      <c r="K31" s="52">
        <f t="shared" si="9"/>
        <v>0</v>
      </c>
      <c r="L31" s="53">
        <f t="shared" si="10"/>
        <v>0</v>
      </c>
      <c r="M31" s="54">
        <f t="shared" si="4"/>
        <v>0</v>
      </c>
      <c r="N31" s="59">
        <f t="shared" si="5"/>
        <v>1</v>
      </c>
      <c r="O31" s="53">
        <f t="shared" si="11"/>
        <v>0</v>
      </c>
      <c r="P31" s="52">
        <f>MAX(P30-Eingabe!$E$28,0)</f>
        <v>0</v>
      </c>
      <c r="Q31" s="60">
        <f t="shared" si="6"/>
        <v>0</v>
      </c>
      <c r="R31" s="60">
        <f t="shared" si="12"/>
        <v>0</v>
      </c>
      <c r="S31" s="60">
        <f>Eingabe!$C$25+Eingabe!$E$25*'Berechnung EB heute'!F31</f>
        <v>39</v>
      </c>
      <c r="T31" s="4">
        <f t="shared" si="8"/>
        <v>-39</v>
      </c>
    </row>
    <row r="32" spans="1:20">
      <c r="A32" s="27">
        <v>22</v>
      </c>
      <c r="B32" s="3">
        <f t="shared" si="0"/>
        <v>0.01</v>
      </c>
      <c r="C32" s="40">
        <v>0</v>
      </c>
      <c r="D32" s="40">
        <f t="shared" si="1"/>
        <v>0</v>
      </c>
      <c r="E32" s="47">
        <f t="shared" si="2"/>
        <v>0</v>
      </c>
      <c r="F32" s="47">
        <f t="shared" si="3"/>
        <v>0</v>
      </c>
      <c r="G32" s="27">
        <f>IF(VLOOKUP(A32,Wechsel!$A$11:$E$31,1)=A32,VLOOKUP(A32,Wechsel!$A$11:$E$31,1),0)</f>
        <v>0</v>
      </c>
      <c r="H32" s="35">
        <f>IF(G32&gt;0,VLOOKUP(A32,Wechsel!$A$11:$E$31,3),H31)</f>
        <v>0</v>
      </c>
      <c r="I32" s="35">
        <f>IF(G32&gt;0,VLOOKUP(A32,Wechsel!$A$11:$E$31,4),I31)</f>
        <v>0</v>
      </c>
      <c r="J32" s="35">
        <f>IF(G32&gt;0,VLOOKUP(A32,Wechsel!$A$11:$E$31,5),J31)</f>
        <v>1</v>
      </c>
      <c r="K32" s="52">
        <f t="shared" si="9"/>
        <v>0</v>
      </c>
      <c r="L32" s="53">
        <f t="shared" si="10"/>
        <v>0</v>
      </c>
      <c r="M32" s="54">
        <f t="shared" si="4"/>
        <v>0</v>
      </c>
      <c r="N32" s="59">
        <f t="shared" si="5"/>
        <v>1</v>
      </c>
      <c r="O32" s="53">
        <f t="shared" si="11"/>
        <v>0</v>
      </c>
      <c r="P32" s="52">
        <f>MAX(P31-Eingabe!$E$28,0)</f>
        <v>0</v>
      </c>
      <c r="Q32" s="60">
        <f t="shared" si="6"/>
        <v>0</v>
      </c>
      <c r="R32" s="60">
        <f t="shared" si="12"/>
        <v>0</v>
      </c>
      <c r="S32" s="60">
        <f>Eingabe!$C$25+Eingabe!$E$25*'Berechnung EB heute'!F32</f>
        <v>39</v>
      </c>
      <c r="T32" s="4">
        <f t="shared" si="8"/>
        <v>-39</v>
      </c>
    </row>
    <row r="33" spans="1:20">
      <c r="A33" s="27">
        <v>23</v>
      </c>
      <c r="B33" s="3">
        <f t="shared" si="0"/>
        <v>0.01</v>
      </c>
      <c r="C33" s="40">
        <v>0</v>
      </c>
      <c r="D33" s="40">
        <f t="shared" si="1"/>
        <v>0</v>
      </c>
      <c r="E33" s="47">
        <f t="shared" si="2"/>
        <v>0</v>
      </c>
      <c r="F33" s="47">
        <f t="shared" si="3"/>
        <v>0</v>
      </c>
      <c r="G33" s="27">
        <f>IF(VLOOKUP(A33,Wechsel!$A$11:$E$31,1)=A33,VLOOKUP(A33,Wechsel!$A$11:$E$31,1),0)</f>
        <v>0</v>
      </c>
      <c r="H33" s="35">
        <f>IF(G33&gt;0,VLOOKUP(A33,Wechsel!$A$11:$E$31,3),H32)</f>
        <v>0</v>
      </c>
      <c r="I33" s="35">
        <f>IF(G33&gt;0,VLOOKUP(A33,Wechsel!$A$11:$E$31,4),I32)</f>
        <v>0</v>
      </c>
      <c r="J33" s="35">
        <f>IF(G33&gt;0,VLOOKUP(A33,Wechsel!$A$11:$E$31,5),J32)</f>
        <v>1</v>
      </c>
      <c r="K33" s="52">
        <f t="shared" si="9"/>
        <v>0</v>
      </c>
      <c r="L33" s="53">
        <f t="shared" si="10"/>
        <v>0</v>
      </c>
      <c r="M33" s="54">
        <f t="shared" si="4"/>
        <v>0</v>
      </c>
      <c r="N33" s="59">
        <f t="shared" si="5"/>
        <v>1</v>
      </c>
      <c r="O33" s="53">
        <f t="shared" si="11"/>
        <v>0</v>
      </c>
      <c r="P33" s="52">
        <f>MAX(P32-Eingabe!$E$28,0)</f>
        <v>0</v>
      </c>
      <c r="Q33" s="60">
        <f t="shared" si="6"/>
        <v>0</v>
      </c>
      <c r="R33" s="60">
        <f t="shared" si="12"/>
        <v>0</v>
      </c>
      <c r="S33" s="60">
        <f>Eingabe!$C$25+Eingabe!$E$25*'Berechnung EB heute'!F33</f>
        <v>39</v>
      </c>
      <c r="T33" s="4">
        <f t="shared" si="8"/>
        <v>-39</v>
      </c>
    </row>
    <row r="34" spans="1:20">
      <c r="A34" s="27">
        <v>24</v>
      </c>
      <c r="B34" s="3">
        <f t="shared" si="0"/>
        <v>0.01</v>
      </c>
      <c r="C34" s="40">
        <v>0</v>
      </c>
      <c r="D34" s="40">
        <f t="shared" si="1"/>
        <v>0</v>
      </c>
      <c r="E34" s="47">
        <f t="shared" si="2"/>
        <v>0</v>
      </c>
      <c r="F34" s="47">
        <f t="shared" si="3"/>
        <v>0</v>
      </c>
      <c r="G34" s="27">
        <f>IF(VLOOKUP(A34,Wechsel!$A$11:$E$31,1)=A34,VLOOKUP(A34,Wechsel!$A$11:$E$31,1),0)</f>
        <v>0</v>
      </c>
      <c r="H34" s="35">
        <f>IF(G34&gt;0,VLOOKUP(A34,Wechsel!$A$11:$E$31,3),H33)</f>
        <v>0</v>
      </c>
      <c r="I34" s="35">
        <f>IF(G34&gt;0,VLOOKUP(A34,Wechsel!$A$11:$E$31,4),I33)</f>
        <v>0</v>
      </c>
      <c r="J34" s="35">
        <f>IF(G34&gt;0,VLOOKUP(A34,Wechsel!$A$11:$E$31,5),J33)</f>
        <v>1</v>
      </c>
      <c r="K34" s="52">
        <f t="shared" si="9"/>
        <v>0</v>
      </c>
      <c r="L34" s="53">
        <f t="shared" si="10"/>
        <v>0</v>
      </c>
      <c r="M34" s="54">
        <f t="shared" si="4"/>
        <v>0</v>
      </c>
      <c r="N34" s="59">
        <f t="shared" si="5"/>
        <v>1</v>
      </c>
      <c r="O34" s="53">
        <f t="shared" si="11"/>
        <v>0</v>
      </c>
      <c r="P34" s="52">
        <f>MAX(P33-Eingabe!$E$28,0)</f>
        <v>0</v>
      </c>
      <c r="Q34" s="60">
        <f t="shared" si="6"/>
        <v>0</v>
      </c>
      <c r="R34" s="60">
        <f t="shared" si="12"/>
        <v>0</v>
      </c>
      <c r="S34" s="60">
        <f>Eingabe!$C$25+Eingabe!$E$25*'Berechnung EB heute'!F34</f>
        <v>39</v>
      </c>
      <c r="T34" s="4">
        <f t="shared" si="8"/>
        <v>-39</v>
      </c>
    </row>
    <row r="35" spans="1:20">
      <c r="A35" s="27">
        <v>25</v>
      </c>
      <c r="B35" s="3">
        <f t="shared" si="0"/>
        <v>0.01</v>
      </c>
      <c r="C35" s="40">
        <v>0</v>
      </c>
      <c r="D35" s="40">
        <f t="shared" si="1"/>
        <v>0</v>
      </c>
      <c r="E35" s="47">
        <f t="shared" si="2"/>
        <v>0</v>
      </c>
      <c r="F35" s="47">
        <f t="shared" si="3"/>
        <v>0</v>
      </c>
      <c r="G35" s="27">
        <f>IF(VLOOKUP(A35,Wechsel!$A$11:$E$31,1)=A35,VLOOKUP(A35,Wechsel!$A$11:$E$31,1),0)</f>
        <v>0</v>
      </c>
      <c r="H35" s="35">
        <f>IF(G35&gt;0,VLOOKUP(A35,Wechsel!$A$11:$E$31,3),H34)</f>
        <v>0</v>
      </c>
      <c r="I35" s="35">
        <f>IF(G35&gt;0,VLOOKUP(A35,Wechsel!$A$11:$E$31,4),I34)</f>
        <v>0</v>
      </c>
      <c r="J35" s="35">
        <f>IF(G35&gt;0,VLOOKUP(A35,Wechsel!$A$11:$E$31,5),J34)</f>
        <v>1</v>
      </c>
      <c r="K35" s="52">
        <f t="shared" si="9"/>
        <v>0</v>
      </c>
      <c r="L35" s="53">
        <f t="shared" si="10"/>
        <v>0</v>
      </c>
      <c r="M35" s="54">
        <f t="shared" si="4"/>
        <v>0</v>
      </c>
      <c r="N35" s="59">
        <f t="shared" si="5"/>
        <v>1</v>
      </c>
      <c r="O35" s="53">
        <f t="shared" si="11"/>
        <v>0</v>
      </c>
      <c r="P35" s="52">
        <f>MAX(P34-Eingabe!$E$28,0)</f>
        <v>0</v>
      </c>
      <c r="Q35" s="60">
        <f t="shared" si="6"/>
        <v>0</v>
      </c>
      <c r="R35" s="60">
        <f t="shared" si="12"/>
        <v>0</v>
      </c>
      <c r="S35" s="60">
        <f>Eingabe!$C$25+Eingabe!$E$25*'Berechnung EB heute'!F35</f>
        <v>39</v>
      </c>
      <c r="T35" s="4">
        <f t="shared" si="8"/>
        <v>-39</v>
      </c>
    </row>
    <row r="36" spans="1:20">
      <c r="A36" s="27">
        <v>26</v>
      </c>
      <c r="B36" s="3">
        <f t="shared" si="0"/>
        <v>0.01</v>
      </c>
      <c r="C36" s="40">
        <v>0</v>
      </c>
      <c r="D36" s="40">
        <f t="shared" si="1"/>
        <v>0</v>
      </c>
      <c r="E36" s="47">
        <f t="shared" si="2"/>
        <v>0</v>
      </c>
      <c r="F36" s="47">
        <f t="shared" si="3"/>
        <v>0</v>
      </c>
      <c r="G36" s="27">
        <f>IF(VLOOKUP(A36,Wechsel!$A$11:$E$31,1)=A36,VLOOKUP(A36,Wechsel!$A$11:$E$31,1),0)</f>
        <v>0</v>
      </c>
      <c r="H36" s="35">
        <f>IF(G36&gt;0,VLOOKUP(A36,Wechsel!$A$11:$E$31,3),H35)</f>
        <v>0</v>
      </c>
      <c r="I36" s="35">
        <f>IF(G36&gt;0,VLOOKUP(A36,Wechsel!$A$11:$E$31,4),I35)</f>
        <v>0</v>
      </c>
      <c r="J36" s="35">
        <f>IF(G36&gt;0,VLOOKUP(A36,Wechsel!$A$11:$E$31,5),J35)</f>
        <v>1</v>
      </c>
      <c r="K36" s="52">
        <f t="shared" si="9"/>
        <v>0</v>
      </c>
      <c r="L36" s="53">
        <f t="shared" si="10"/>
        <v>0</v>
      </c>
      <c r="M36" s="54">
        <f t="shared" si="4"/>
        <v>0</v>
      </c>
      <c r="N36" s="59">
        <f t="shared" si="5"/>
        <v>1</v>
      </c>
      <c r="O36" s="53">
        <f t="shared" si="11"/>
        <v>0</v>
      </c>
      <c r="P36" s="52">
        <f>MAX(P35-Eingabe!$E$28,0)</f>
        <v>0</v>
      </c>
      <c r="Q36" s="60">
        <f t="shared" si="6"/>
        <v>0</v>
      </c>
      <c r="R36" s="60">
        <f t="shared" si="12"/>
        <v>0</v>
      </c>
      <c r="S36" s="60">
        <f>Eingabe!$C$25+Eingabe!$E$25*'Berechnung EB heute'!F36</f>
        <v>39</v>
      </c>
      <c r="T36" s="4">
        <f t="shared" si="8"/>
        <v>-39</v>
      </c>
    </row>
    <row r="37" spans="1:20">
      <c r="A37" s="27">
        <v>27</v>
      </c>
      <c r="B37" s="3">
        <f t="shared" si="0"/>
        <v>0.01</v>
      </c>
      <c r="C37" s="40">
        <v>0</v>
      </c>
      <c r="D37" s="40">
        <f t="shared" si="1"/>
        <v>0</v>
      </c>
      <c r="E37" s="47">
        <f t="shared" si="2"/>
        <v>0</v>
      </c>
      <c r="F37" s="47">
        <f t="shared" si="3"/>
        <v>0</v>
      </c>
      <c r="G37" s="27">
        <f>IF(VLOOKUP(A37,Wechsel!$A$11:$E$31,1)=A37,VLOOKUP(A37,Wechsel!$A$11:$E$31,1),0)</f>
        <v>0</v>
      </c>
      <c r="H37" s="35">
        <f>IF(G37&gt;0,VLOOKUP(A37,Wechsel!$A$11:$E$31,3),H36)</f>
        <v>0</v>
      </c>
      <c r="I37" s="35">
        <f>IF(G37&gt;0,VLOOKUP(A37,Wechsel!$A$11:$E$31,4),I36)</f>
        <v>0</v>
      </c>
      <c r="J37" s="35">
        <f>IF(G37&gt;0,VLOOKUP(A37,Wechsel!$A$11:$E$31,5),J36)</f>
        <v>1</v>
      </c>
      <c r="K37" s="52">
        <f t="shared" si="9"/>
        <v>0</v>
      </c>
      <c r="L37" s="53">
        <f t="shared" si="10"/>
        <v>0</v>
      </c>
      <c r="M37" s="54">
        <f t="shared" si="4"/>
        <v>0</v>
      </c>
      <c r="N37" s="59">
        <f t="shared" si="5"/>
        <v>1</v>
      </c>
      <c r="O37" s="53">
        <f t="shared" si="11"/>
        <v>0</v>
      </c>
      <c r="P37" s="52">
        <f>MAX(P36-Eingabe!$E$28,0)</f>
        <v>0</v>
      </c>
      <c r="Q37" s="60">
        <f t="shared" si="6"/>
        <v>0</v>
      </c>
      <c r="R37" s="60">
        <f t="shared" si="12"/>
        <v>0</v>
      </c>
      <c r="S37" s="60">
        <f>Eingabe!$C$25+Eingabe!$E$25*'Berechnung EB heute'!F37</f>
        <v>39</v>
      </c>
      <c r="T37" s="4">
        <f t="shared" si="8"/>
        <v>-39</v>
      </c>
    </row>
    <row r="38" spans="1:20">
      <c r="A38" s="27">
        <v>28</v>
      </c>
      <c r="B38" s="3">
        <f t="shared" si="0"/>
        <v>0.01</v>
      </c>
      <c r="C38" s="40">
        <v>0</v>
      </c>
      <c r="D38" s="40">
        <f t="shared" si="1"/>
        <v>0</v>
      </c>
      <c r="E38" s="47">
        <f t="shared" si="2"/>
        <v>0</v>
      </c>
      <c r="F38" s="47">
        <f t="shared" si="3"/>
        <v>0</v>
      </c>
      <c r="G38" s="27">
        <f>IF(VLOOKUP(A38,Wechsel!$A$11:$E$31,1)=A38,VLOOKUP(A38,Wechsel!$A$11:$E$31,1),0)</f>
        <v>0</v>
      </c>
      <c r="H38" s="35">
        <f>IF(G38&gt;0,VLOOKUP(A38,Wechsel!$A$11:$E$31,3),H37)</f>
        <v>0</v>
      </c>
      <c r="I38" s="35">
        <f>IF(G38&gt;0,VLOOKUP(A38,Wechsel!$A$11:$E$31,4),I37)</f>
        <v>0</v>
      </c>
      <c r="J38" s="35">
        <f>IF(G38&gt;0,VLOOKUP(A38,Wechsel!$A$11:$E$31,5),J37)</f>
        <v>1</v>
      </c>
      <c r="K38" s="52">
        <f t="shared" si="9"/>
        <v>0</v>
      </c>
      <c r="L38" s="53">
        <f t="shared" si="10"/>
        <v>0</v>
      </c>
      <c r="M38" s="54">
        <f t="shared" si="4"/>
        <v>0</v>
      </c>
      <c r="N38" s="59">
        <f t="shared" si="5"/>
        <v>1</v>
      </c>
      <c r="O38" s="53">
        <f t="shared" si="11"/>
        <v>0</v>
      </c>
      <c r="P38" s="52">
        <f>MAX(P37-Eingabe!$E$28,0)</f>
        <v>0</v>
      </c>
      <c r="Q38" s="60">
        <f t="shared" si="6"/>
        <v>0</v>
      </c>
      <c r="R38" s="60">
        <f t="shared" si="12"/>
        <v>0</v>
      </c>
      <c r="S38" s="60">
        <f>Eingabe!$C$25+Eingabe!$E$25*'Berechnung EB heute'!F38</f>
        <v>39</v>
      </c>
      <c r="T38" s="4">
        <f t="shared" si="8"/>
        <v>-39</v>
      </c>
    </row>
    <row r="39" spans="1:20">
      <c r="A39" s="27">
        <v>29</v>
      </c>
      <c r="B39" s="3">
        <f t="shared" si="0"/>
        <v>0.01</v>
      </c>
      <c r="C39" s="40">
        <v>0</v>
      </c>
      <c r="D39" s="40">
        <f t="shared" si="1"/>
        <v>0</v>
      </c>
      <c r="E39" s="47">
        <f t="shared" si="2"/>
        <v>0</v>
      </c>
      <c r="F39" s="47">
        <f t="shared" si="3"/>
        <v>0</v>
      </c>
      <c r="G39" s="27">
        <f>IF(VLOOKUP(A39,Wechsel!$A$11:$E$31,1)=A39,VLOOKUP(A39,Wechsel!$A$11:$E$31,1),0)</f>
        <v>0</v>
      </c>
      <c r="H39" s="35">
        <f>IF(G39&gt;0,VLOOKUP(A39,Wechsel!$A$11:$E$31,3),H38)</f>
        <v>0</v>
      </c>
      <c r="I39" s="35">
        <f>IF(G39&gt;0,VLOOKUP(A39,Wechsel!$A$11:$E$31,4),I38)</f>
        <v>0</v>
      </c>
      <c r="J39" s="35">
        <f>IF(G39&gt;0,VLOOKUP(A39,Wechsel!$A$11:$E$31,5),J38)</f>
        <v>1</v>
      </c>
      <c r="K39" s="52">
        <f t="shared" si="9"/>
        <v>0</v>
      </c>
      <c r="L39" s="53">
        <f t="shared" si="10"/>
        <v>0</v>
      </c>
      <c r="M39" s="54">
        <f t="shared" si="4"/>
        <v>0</v>
      </c>
      <c r="N39" s="59">
        <f>1-(H39*$G$5+I39*$H$5+J39*$I$5)</f>
        <v>1</v>
      </c>
      <c r="O39" s="53">
        <f t="shared" si="11"/>
        <v>0</v>
      </c>
      <c r="P39" s="52">
        <f>MAX(P38-Eingabe!$E$28,0)</f>
        <v>0</v>
      </c>
      <c r="Q39" s="60">
        <f t="shared" si="6"/>
        <v>0</v>
      </c>
      <c r="R39" s="60">
        <f t="shared" si="12"/>
        <v>0</v>
      </c>
      <c r="S39" s="60">
        <f>Eingabe!$C$25+Eingabe!$E$25*'Berechnung EB heute'!F39</f>
        <v>39</v>
      </c>
      <c r="T39" s="4">
        <f t="shared" si="8"/>
        <v>-39</v>
      </c>
    </row>
    <row r="40" spans="1:20">
      <c r="A40" s="27">
        <v>30</v>
      </c>
      <c r="B40" s="3">
        <f t="shared" si="0"/>
        <v>0.01</v>
      </c>
      <c r="C40" s="40">
        <v>0</v>
      </c>
      <c r="D40" s="40">
        <f t="shared" si="1"/>
        <v>0</v>
      </c>
      <c r="E40" s="47">
        <f t="shared" si="2"/>
        <v>0</v>
      </c>
      <c r="F40" s="47">
        <f t="shared" si="3"/>
        <v>0</v>
      </c>
      <c r="G40" s="27">
        <f>IF(VLOOKUP(A40,Wechsel!$A$11:$E$31,1)=A40,VLOOKUP(A40,Wechsel!$A$11:$E$31,1),0)</f>
        <v>0</v>
      </c>
      <c r="H40" s="35">
        <f>IF(G40&gt;0,VLOOKUP(A40,Wechsel!$A$11:$E$31,3),H39)</f>
        <v>0</v>
      </c>
      <c r="I40" s="35">
        <f>IF(G40&gt;0,VLOOKUP(A40,Wechsel!$A$11:$E$31,4),I39)</f>
        <v>0</v>
      </c>
      <c r="J40" s="35">
        <f>IF(G40&gt;0,VLOOKUP(A40,Wechsel!$A$11:$E$31,5),J39)</f>
        <v>1</v>
      </c>
      <c r="K40" s="52">
        <f t="shared" si="9"/>
        <v>0</v>
      </c>
      <c r="L40" s="53">
        <f t="shared" si="10"/>
        <v>0</v>
      </c>
      <c r="M40" s="54">
        <f t="shared" si="4"/>
        <v>0</v>
      </c>
      <c r="N40" s="59">
        <f t="shared" si="5"/>
        <v>1</v>
      </c>
      <c r="O40" s="53">
        <f t="shared" si="11"/>
        <v>0</v>
      </c>
      <c r="P40" s="52">
        <f>MAX(P39-Eingabe!$E$28,0)</f>
        <v>0</v>
      </c>
      <c r="Q40" s="60">
        <f t="shared" si="6"/>
        <v>0</v>
      </c>
      <c r="R40" s="60">
        <f t="shared" si="12"/>
        <v>0</v>
      </c>
      <c r="S40" s="60">
        <f>Eingabe!$C$25+Eingabe!$E$25*'Berechnung EB heute'!F40</f>
        <v>39</v>
      </c>
      <c r="T40" s="4">
        <f t="shared" si="8"/>
        <v>-39</v>
      </c>
    </row>
    <row r="41" spans="1:20">
      <c r="A41" s="27">
        <v>31</v>
      </c>
      <c r="B41" s="3">
        <f t="shared" si="0"/>
        <v>0.01</v>
      </c>
      <c r="C41" s="40">
        <v>0</v>
      </c>
      <c r="D41" s="40">
        <f t="shared" si="1"/>
        <v>0</v>
      </c>
      <c r="E41" s="47">
        <f t="shared" si="2"/>
        <v>0</v>
      </c>
      <c r="F41" s="47">
        <f t="shared" si="3"/>
        <v>0</v>
      </c>
      <c r="G41" s="27">
        <f>IF(VLOOKUP(A41,Wechsel!$A$11:$E$31,1)=A41,VLOOKUP(A41,Wechsel!$A$11:$E$31,1),0)</f>
        <v>0</v>
      </c>
      <c r="H41" s="35">
        <f>IF(G41&gt;0,VLOOKUP(A41,Wechsel!$A$11:$E$31,3),H40)</f>
        <v>0</v>
      </c>
      <c r="I41" s="35">
        <f>IF(G41&gt;0,VLOOKUP(A41,Wechsel!$A$11:$E$31,4),I40)</f>
        <v>0</v>
      </c>
      <c r="J41" s="35">
        <f>IF(G41&gt;0,VLOOKUP(A41,Wechsel!$A$11:$E$31,5),J40)</f>
        <v>1</v>
      </c>
      <c r="K41" s="52">
        <f t="shared" si="9"/>
        <v>0</v>
      </c>
      <c r="L41" s="53">
        <f t="shared" si="10"/>
        <v>0</v>
      </c>
      <c r="M41" s="54">
        <f t="shared" si="4"/>
        <v>0</v>
      </c>
      <c r="N41" s="59">
        <f t="shared" si="5"/>
        <v>1</v>
      </c>
      <c r="O41" s="53">
        <f t="shared" si="11"/>
        <v>0</v>
      </c>
      <c r="P41" s="52">
        <f>MAX(P40-Eingabe!$E$28,0)</f>
        <v>0</v>
      </c>
      <c r="Q41" s="60">
        <f t="shared" si="6"/>
        <v>0</v>
      </c>
      <c r="R41" s="60">
        <f t="shared" si="12"/>
        <v>0</v>
      </c>
      <c r="S41" s="60">
        <f>Eingabe!$C$25+Eingabe!$E$25*'Berechnung EB heute'!F41</f>
        <v>39</v>
      </c>
      <c r="T41" s="4">
        <f t="shared" si="8"/>
        <v>-39</v>
      </c>
    </row>
    <row r="42" spans="1:20">
      <c r="A42" s="27">
        <v>32</v>
      </c>
      <c r="B42" s="3">
        <f t="shared" si="0"/>
        <v>0.01</v>
      </c>
      <c r="C42" s="40">
        <v>0</v>
      </c>
      <c r="D42" s="40">
        <f t="shared" si="1"/>
        <v>0</v>
      </c>
      <c r="E42" s="47">
        <f t="shared" si="2"/>
        <v>0</v>
      </c>
      <c r="F42" s="47">
        <f t="shared" si="3"/>
        <v>0</v>
      </c>
      <c r="G42" s="27">
        <f>IF(VLOOKUP(A42,Wechsel!$A$11:$E$31,1)=A42,VLOOKUP(A42,Wechsel!$A$11:$E$31,1),0)</f>
        <v>0</v>
      </c>
      <c r="H42" s="35">
        <f>IF(G42&gt;0,VLOOKUP(A42,Wechsel!$A$11:$E$31,3),H41)</f>
        <v>0</v>
      </c>
      <c r="I42" s="35">
        <f>IF(G42&gt;0,VLOOKUP(A42,Wechsel!$A$11:$E$31,4),I41)</f>
        <v>0</v>
      </c>
      <c r="J42" s="35">
        <f>IF(G42&gt;0,VLOOKUP(A42,Wechsel!$A$11:$E$31,5),J41)</f>
        <v>1</v>
      </c>
      <c r="K42" s="52">
        <f t="shared" si="9"/>
        <v>0</v>
      </c>
      <c r="L42" s="53">
        <f t="shared" si="10"/>
        <v>0</v>
      </c>
      <c r="M42" s="54">
        <f t="shared" si="4"/>
        <v>0</v>
      </c>
      <c r="N42" s="59">
        <f t="shared" si="5"/>
        <v>1</v>
      </c>
      <c r="O42" s="53">
        <f t="shared" si="11"/>
        <v>0</v>
      </c>
      <c r="P42" s="52">
        <f>MAX(P41-Eingabe!$E$28,0)</f>
        <v>0</v>
      </c>
      <c r="Q42" s="60">
        <f t="shared" si="6"/>
        <v>0</v>
      </c>
      <c r="R42" s="60">
        <f t="shared" si="12"/>
        <v>0</v>
      </c>
      <c r="S42" s="60">
        <f>Eingabe!$C$25+Eingabe!$E$25*'Berechnung EB heute'!F42</f>
        <v>39</v>
      </c>
      <c r="T42" s="4">
        <f t="shared" si="8"/>
        <v>-39</v>
      </c>
    </row>
    <row r="43" spans="1:20">
      <c r="A43" s="27">
        <v>33</v>
      </c>
      <c r="B43" s="3">
        <f t="shared" si="0"/>
        <v>0.01</v>
      </c>
      <c r="C43" s="40">
        <v>0</v>
      </c>
      <c r="D43" s="40">
        <f t="shared" si="1"/>
        <v>0</v>
      </c>
      <c r="E43" s="47">
        <f t="shared" si="2"/>
        <v>0</v>
      </c>
      <c r="F43" s="47">
        <f t="shared" si="3"/>
        <v>0</v>
      </c>
      <c r="G43" s="27">
        <f>IF(VLOOKUP(A43,Wechsel!$A$11:$E$31,1)=A43,VLOOKUP(A43,Wechsel!$A$11:$E$31,1),0)</f>
        <v>0</v>
      </c>
      <c r="H43" s="35">
        <f>IF(G43&gt;0,VLOOKUP(A43,Wechsel!$A$11:$E$31,3),H42)</f>
        <v>0</v>
      </c>
      <c r="I43" s="35">
        <f>IF(G43&gt;0,VLOOKUP(A43,Wechsel!$A$11:$E$31,4),I42)</f>
        <v>0</v>
      </c>
      <c r="J43" s="35">
        <f>IF(G43&gt;0,VLOOKUP(A43,Wechsel!$A$11:$E$31,5),J42)</f>
        <v>1</v>
      </c>
      <c r="K43" s="52">
        <f t="shared" si="9"/>
        <v>0</v>
      </c>
      <c r="L43" s="53">
        <f t="shared" si="10"/>
        <v>0</v>
      </c>
      <c r="M43" s="54">
        <f t="shared" si="4"/>
        <v>0</v>
      </c>
      <c r="N43" s="59">
        <f t="shared" si="5"/>
        <v>1</v>
      </c>
      <c r="O43" s="53">
        <f t="shared" si="11"/>
        <v>0</v>
      </c>
      <c r="P43" s="52">
        <f>MAX(P42-Eingabe!$E$28,0)</f>
        <v>0</v>
      </c>
      <c r="Q43" s="60">
        <f t="shared" si="6"/>
        <v>0</v>
      </c>
      <c r="R43" s="60">
        <f t="shared" si="12"/>
        <v>0</v>
      </c>
      <c r="S43" s="60">
        <f>Eingabe!$C$25+Eingabe!$E$25*'Berechnung EB heute'!F43</f>
        <v>39</v>
      </c>
      <c r="T43" s="4">
        <f t="shared" si="8"/>
        <v>-39</v>
      </c>
    </row>
    <row r="44" spans="1:20">
      <c r="A44" s="27">
        <v>34</v>
      </c>
      <c r="B44" s="3">
        <f t="shared" si="0"/>
        <v>0.01</v>
      </c>
      <c r="C44" s="40">
        <v>0</v>
      </c>
      <c r="D44" s="40">
        <f t="shared" ref="D44:D60" si="13">IF(A44&gt;$B$3,0,T43)</f>
        <v>0</v>
      </c>
      <c r="E44" s="47">
        <f t="shared" ref="E44:E60" si="14">(C44+D44)*$B$1</f>
        <v>0</v>
      </c>
      <c r="F44" s="47">
        <f t="shared" ref="F44:F60" si="15">IF(A44&gt;$B$3,0,C44+E44+D44)</f>
        <v>0</v>
      </c>
      <c r="G44" s="27">
        <f>IF(VLOOKUP(A44,Wechsel!$A$11:$E$31,1)=A44,VLOOKUP(A44,Wechsel!$A$11:$E$31,1),0)</f>
        <v>0</v>
      </c>
      <c r="H44" s="35">
        <f>IF(G44&gt;0,VLOOKUP(A44,Wechsel!$A$11:$E$31,3),H43)</f>
        <v>0</v>
      </c>
      <c r="I44" s="35">
        <f>IF(G44&gt;0,VLOOKUP(A44,Wechsel!$A$11:$E$31,4),I43)</f>
        <v>0</v>
      </c>
      <c r="J44" s="35">
        <f>IF(G44&gt;0,VLOOKUP(A44,Wechsel!$A$11:$E$31,5),J43)</f>
        <v>1</v>
      </c>
      <c r="K44" s="52">
        <f t="shared" si="9"/>
        <v>0</v>
      </c>
      <c r="L44" s="53">
        <f t="shared" si="10"/>
        <v>0</v>
      </c>
      <c r="M44" s="54">
        <f t="shared" ref="M44:M60" si="16">IF(A44&gt;$B$3,0,IF(G43&gt;0,T43,C44+M43))</f>
        <v>0</v>
      </c>
      <c r="N44" s="59">
        <f t="shared" si="5"/>
        <v>1</v>
      </c>
      <c r="O44" s="53">
        <f t="shared" si="11"/>
        <v>0</v>
      </c>
      <c r="P44" s="52">
        <f>MAX(P43-Eingabe!$E$28,0)</f>
        <v>0</v>
      </c>
      <c r="Q44" s="60">
        <f t="shared" si="6"/>
        <v>0</v>
      </c>
      <c r="R44" s="60">
        <f t="shared" si="12"/>
        <v>0</v>
      </c>
      <c r="S44" s="60">
        <f>Eingabe!$C$25+Eingabe!$E$25*'Berechnung EB heute'!F44</f>
        <v>39</v>
      </c>
      <c r="T44" s="4">
        <f t="shared" si="8"/>
        <v>-39</v>
      </c>
    </row>
    <row r="45" spans="1:20">
      <c r="A45" s="27">
        <v>35</v>
      </c>
      <c r="B45" s="3">
        <f t="shared" si="0"/>
        <v>0.01</v>
      </c>
      <c r="C45" s="40">
        <v>0</v>
      </c>
      <c r="D45" s="40">
        <f t="shared" si="13"/>
        <v>0</v>
      </c>
      <c r="E45" s="47">
        <f t="shared" si="14"/>
        <v>0</v>
      </c>
      <c r="F45" s="47">
        <f t="shared" si="15"/>
        <v>0</v>
      </c>
      <c r="G45" s="27">
        <f>IF(VLOOKUP(A45,Wechsel!$A$11:$E$31,1)=A45,VLOOKUP(A45,Wechsel!$A$11:$E$31,1),0)</f>
        <v>0</v>
      </c>
      <c r="H45" s="35">
        <f>IF(G45&gt;0,VLOOKUP(A45,Wechsel!$A$11:$E$31,3),H44)</f>
        <v>0</v>
      </c>
      <c r="I45" s="35">
        <f>IF(G45&gt;0,VLOOKUP(A45,Wechsel!$A$11:$E$31,4),I44)</f>
        <v>0</v>
      </c>
      <c r="J45" s="35">
        <f>IF(G45&gt;0,VLOOKUP(A45,Wechsel!$A$11:$E$31,5),J44)</f>
        <v>1</v>
      </c>
      <c r="K45" s="52">
        <f t="shared" si="9"/>
        <v>0</v>
      </c>
      <c r="L45" s="53">
        <f t="shared" si="10"/>
        <v>0</v>
      </c>
      <c r="M45" s="54">
        <f t="shared" si="16"/>
        <v>0</v>
      </c>
      <c r="N45" s="59">
        <f t="shared" si="5"/>
        <v>1</v>
      </c>
      <c r="O45" s="53">
        <f t="shared" si="11"/>
        <v>0</v>
      </c>
      <c r="P45" s="52">
        <f>MAX(P44-Eingabe!$E$28,0)</f>
        <v>0</v>
      </c>
      <c r="Q45" s="60">
        <f t="shared" si="6"/>
        <v>0</v>
      </c>
      <c r="R45" s="60">
        <f t="shared" si="12"/>
        <v>0</v>
      </c>
      <c r="S45" s="60">
        <f>Eingabe!$C$25+Eingabe!$E$25*'Berechnung EB heute'!F45</f>
        <v>39</v>
      </c>
      <c r="T45" s="4">
        <f t="shared" si="8"/>
        <v>-39</v>
      </c>
    </row>
    <row r="46" spans="1:20">
      <c r="A46" s="27">
        <v>36</v>
      </c>
      <c r="B46" s="3">
        <f t="shared" si="0"/>
        <v>0.01</v>
      </c>
      <c r="C46" s="40">
        <v>0</v>
      </c>
      <c r="D46" s="40">
        <f t="shared" si="13"/>
        <v>0</v>
      </c>
      <c r="E46" s="47">
        <f t="shared" si="14"/>
        <v>0</v>
      </c>
      <c r="F46" s="47">
        <f t="shared" si="15"/>
        <v>0</v>
      </c>
      <c r="G46" s="27">
        <f>IF(VLOOKUP(A46,Wechsel!$A$11:$E$31,1)=A46,VLOOKUP(A46,Wechsel!$A$11:$E$31,1),0)</f>
        <v>0</v>
      </c>
      <c r="H46" s="35">
        <f>IF(G46&gt;0,VLOOKUP(A46,Wechsel!$A$11:$E$31,3),H45)</f>
        <v>0</v>
      </c>
      <c r="I46" s="35">
        <f>IF(G46&gt;0,VLOOKUP(A46,Wechsel!$A$11:$E$31,4),I45)</f>
        <v>0</v>
      </c>
      <c r="J46" s="35">
        <f>IF(G46&gt;0,VLOOKUP(A46,Wechsel!$A$11:$E$31,5),J45)</f>
        <v>1</v>
      </c>
      <c r="K46" s="52">
        <f t="shared" si="9"/>
        <v>0</v>
      </c>
      <c r="L46" s="53">
        <f t="shared" si="10"/>
        <v>0</v>
      </c>
      <c r="M46" s="54">
        <f t="shared" si="16"/>
        <v>0</v>
      </c>
      <c r="N46" s="59">
        <f t="shared" si="5"/>
        <v>1</v>
      </c>
      <c r="O46" s="53">
        <f t="shared" si="11"/>
        <v>0</v>
      </c>
      <c r="P46" s="52">
        <f>MAX(P45-Eingabe!$E$28,0)</f>
        <v>0</v>
      </c>
      <c r="Q46" s="60">
        <f t="shared" si="6"/>
        <v>0</v>
      </c>
      <c r="R46" s="60">
        <f t="shared" si="12"/>
        <v>0</v>
      </c>
      <c r="S46" s="60">
        <f>Eingabe!$C$25+Eingabe!$E$25*'Berechnung EB heute'!F46</f>
        <v>39</v>
      </c>
      <c r="T46" s="4">
        <f t="shared" si="8"/>
        <v>-39</v>
      </c>
    </row>
    <row r="47" spans="1:20">
      <c r="A47" s="27">
        <v>37</v>
      </c>
      <c r="B47" s="3">
        <f t="shared" si="0"/>
        <v>0.01</v>
      </c>
      <c r="C47" s="40">
        <v>0</v>
      </c>
      <c r="D47" s="40">
        <f t="shared" si="13"/>
        <v>0</v>
      </c>
      <c r="E47" s="47">
        <f t="shared" si="14"/>
        <v>0</v>
      </c>
      <c r="F47" s="47">
        <f t="shared" si="15"/>
        <v>0</v>
      </c>
      <c r="G47" s="27">
        <f>IF(VLOOKUP(A47,Wechsel!$A$11:$E$31,1)=A47,VLOOKUP(A47,Wechsel!$A$11:$E$31,1),0)</f>
        <v>0</v>
      </c>
      <c r="H47" s="35">
        <f>IF(G47&gt;0,VLOOKUP(A47,Wechsel!$A$11:$E$31,3),H46)</f>
        <v>0</v>
      </c>
      <c r="I47" s="35">
        <f>IF(G47&gt;0,VLOOKUP(A47,Wechsel!$A$11:$E$31,4),I46)</f>
        <v>0</v>
      </c>
      <c r="J47" s="35">
        <f>IF(G47&gt;0,VLOOKUP(A47,Wechsel!$A$11:$E$31,5),J46)</f>
        <v>1</v>
      </c>
      <c r="K47" s="52">
        <f t="shared" si="9"/>
        <v>0</v>
      </c>
      <c r="L47" s="53">
        <f t="shared" si="10"/>
        <v>0</v>
      </c>
      <c r="M47" s="54">
        <f t="shared" si="16"/>
        <v>0</v>
      </c>
      <c r="N47" s="59">
        <f t="shared" si="5"/>
        <v>1</v>
      </c>
      <c r="O47" s="53">
        <f t="shared" si="11"/>
        <v>0</v>
      </c>
      <c r="P47" s="52">
        <f>MAX(P46-Eingabe!$E$28,0)</f>
        <v>0</v>
      </c>
      <c r="Q47" s="60">
        <f t="shared" si="6"/>
        <v>0</v>
      </c>
      <c r="R47" s="60">
        <f t="shared" si="12"/>
        <v>0</v>
      </c>
      <c r="S47" s="60">
        <f>Eingabe!$C$25+Eingabe!$E$25*'Berechnung EB heute'!F47</f>
        <v>39</v>
      </c>
      <c r="T47" s="4">
        <f t="shared" si="8"/>
        <v>-39</v>
      </c>
    </row>
    <row r="48" spans="1:20">
      <c r="A48" s="27">
        <v>38</v>
      </c>
      <c r="B48" s="3">
        <f t="shared" si="0"/>
        <v>0.01</v>
      </c>
      <c r="C48" s="40">
        <v>0</v>
      </c>
      <c r="D48" s="40">
        <f t="shared" si="13"/>
        <v>0</v>
      </c>
      <c r="E48" s="47">
        <f t="shared" si="14"/>
        <v>0</v>
      </c>
      <c r="F48" s="47">
        <f t="shared" si="15"/>
        <v>0</v>
      </c>
      <c r="G48" s="27">
        <f>IF(VLOOKUP(A48,Wechsel!$A$11:$E$31,1)=A48,VLOOKUP(A48,Wechsel!$A$11:$E$31,1),0)</f>
        <v>0</v>
      </c>
      <c r="H48" s="35">
        <f>IF(G48&gt;0,VLOOKUP(A48,Wechsel!$A$11:$E$31,3),H47)</f>
        <v>0</v>
      </c>
      <c r="I48" s="35">
        <f>IF(G48&gt;0,VLOOKUP(A48,Wechsel!$A$11:$E$31,4),I47)</f>
        <v>0</v>
      </c>
      <c r="J48" s="35">
        <f>IF(G48&gt;0,VLOOKUP(A48,Wechsel!$A$11:$E$31,5),J47)</f>
        <v>1</v>
      </c>
      <c r="K48" s="52">
        <f t="shared" si="9"/>
        <v>0</v>
      </c>
      <c r="L48" s="53">
        <f t="shared" si="10"/>
        <v>0</v>
      </c>
      <c r="M48" s="54">
        <f t="shared" si="16"/>
        <v>0</v>
      </c>
      <c r="N48" s="59">
        <f t="shared" si="5"/>
        <v>1</v>
      </c>
      <c r="O48" s="53">
        <f t="shared" si="11"/>
        <v>0</v>
      </c>
      <c r="P48" s="52">
        <f>MAX(P47-Eingabe!$E$28,0)</f>
        <v>0</v>
      </c>
      <c r="Q48" s="60">
        <f t="shared" si="6"/>
        <v>0</v>
      </c>
      <c r="R48" s="60">
        <f t="shared" si="12"/>
        <v>0</v>
      </c>
      <c r="S48" s="60">
        <f>Eingabe!$C$25+Eingabe!$E$25*'Berechnung EB heute'!F48</f>
        <v>39</v>
      </c>
      <c r="T48" s="4">
        <f t="shared" si="8"/>
        <v>-39</v>
      </c>
    </row>
    <row r="49" spans="1:20">
      <c r="A49" s="27">
        <v>39</v>
      </c>
      <c r="B49" s="3">
        <f t="shared" si="0"/>
        <v>0.01</v>
      </c>
      <c r="C49" s="40">
        <v>0</v>
      </c>
      <c r="D49" s="40">
        <f t="shared" si="13"/>
        <v>0</v>
      </c>
      <c r="E49" s="47">
        <f t="shared" si="14"/>
        <v>0</v>
      </c>
      <c r="F49" s="47">
        <f t="shared" si="15"/>
        <v>0</v>
      </c>
      <c r="G49" s="27">
        <f>IF(VLOOKUP(A49,Wechsel!$A$11:$E$31,1)=A49,VLOOKUP(A49,Wechsel!$A$11:$E$31,1),0)</f>
        <v>0</v>
      </c>
      <c r="H49" s="35">
        <f>IF(G49&gt;0,VLOOKUP(A49,Wechsel!$A$11:$E$31,3),H48)</f>
        <v>0</v>
      </c>
      <c r="I49" s="35">
        <f>IF(G49&gt;0,VLOOKUP(A49,Wechsel!$A$11:$E$31,4),I48)</f>
        <v>0</v>
      </c>
      <c r="J49" s="35">
        <f>IF(G49&gt;0,VLOOKUP(A49,Wechsel!$A$11:$E$31,5),J48)</f>
        <v>1</v>
      </c>
      <c r="K49" s="52">
        <f t="shared" si="9"/>
        <v>0</v>
      </c>
      <c r="L49" s="53">
        <f t="shared" si="10"/>
        <v>0</v>
      </c>
      <c r="M49" s="54">
        <f t="shared" si="16"/>
        <v>0</v>
      </c>
      <c r="N49" s="59">
        <f t="shared" si="5"/>
        <v>1</v>
      </c>
      <c r="O49" s="53">
        <f t="shared" si="11"/>
        <v>0</v>
      </c>
      <c r="P49" s="52">
        <f>MAX(P48-Eingabe!$E$28,0)</f>
        <v>0</v>
      </c>
      <c r="Q49" s="60">
        <f t="shared" si="6"/>
        <v>0</v>
      </c>
      <c r="R49" s="60">
        <f t="shared" si="12"/>
        <v>0</v>
      </c>
      <c r="S49" s="60">
        <f>Eingabe!$C$25+Eingabe!$E$25*'Berechnung EB heute'!F49</f>
        <v>39</v>
      </c>
      <c r="T49" s="4">
        <f t="shared" si="8"/>
        <v>-39</v>
      </c>
    </row>
    <row r="50" spans="1:20">
      <c r="A50" s="27">
        <v>40</v>
      </c>
      <c r="B50" s="3">
        <f t="shared" si="0"/>
        <v>0.01</v>
      </c>
      <c r="C50" s="40">
        <v>0</v>
      </c>
      <c r="D50" s="40">
        <f t="shared" si="13"/>
        <v>0</v>
      </c>
      <c r="E50" s="47">
        <f t="shared" si="14"/>
        <v>0</v>
      </c>
      <c r="F50" s="47">
        <f t="shared" si="15"/>
        <v>0</v>
      </c>
      <c r="G50" s="27">
        <f>IF(VLOOKUP(A50,Wechsel!$A$11:$E$31,1)=A50,VLOOKUP(A50,Wechsel!$A$11:$E$31,1),0)</f>
        <v>0</v>
      </c>
      <c r="H50" s="35">
        <f>IF(G50&gt;0,VLOOKUP(A50,Wechsel!$A$11:$E$31,3),H49)</f>
        <v>0</v>
      </c>
      <c r="I50" s="35">
        <f>IF(G50&gt;0,VLOOKUP(A50,Wechsel!$A$11:$E$31,4),I49)</f>
        <v>0</v>
      </c>
      <c r="J50" s="35">
        <f>IF(G50&gt;0,VLOOKUP(A50,Wechsel!$A$11:$E$31,5),J49)</f>
        <v>1</v>
      </c>
      <c r="K50" s="52">
        <f t="shared" si="9"/>
        <v>0</v>
      </c>
      <c r="L50" s="53">
        <f t="shared" si="10"/>
        <v>0</v>
      </c>
      <c r="M50" s="54">
        <f t="shared" si="16"/>
        <v>0</v>
      </c>
      <c r="N50" s="59">
        <f t="shared" si="5"/>
        <v>1</v>
      </c>
      <c r="O50" s="53">
        <f t="shared" si="11"/>
        <v>0</v>
      </c>
      <c r="P50" s="52">
        <f>MAX(P49-Eingabe!$E$28,0)</f>
        <v>0</v>
      </c>
      <c r="Q50" s="60">
        <f t="shared" si="6"/>
        <v>0</v>
      </c>
      <c r="R50" s="60">
        <f t="shared" si="12"/>
        <v>0</v>
      </c>
      <c r="S50" s="60">
        <f>Eingabe!$C$25+Eingabe!$E$25*'Berechnung EB heute'!F50</f>
        <v>39</v>
      </c>
      <c r="T50" s="4">
        <f t="shared" si="8"/>
        <v>-39</v>
      </c>
    </row>
    <row r="51" spans="1:20">
      <c r="A51" s="27">
        <v>41</v>
      </c>
      <c r="B51" s="3">
        <f t="shared" si="0"/>
        <v>0.01</v>
      </c>
      <c r="C51" s="40">
        <v>0</v>
      </c>
      <c r="D51" s="40">
        <f t="shared" si="13"/>
        <v>0</v>
      </c>
      <c r="E51" s="47">
        <f t="shared" si="14"/>
        <v>0</v>
      </c>
      <c r="F51" s="47">
        <f t="shared" si="15"/>
        <v>0</v>
      </c>
      <c r="G51" s="27">
        <f>IF(VLOOKUP(A51,Wechsel!$A$11:$E$31,1)=A51,VLOOKUP(A51,Wechsel!$A$11:$E$31,1),0)</f>
        <v>0</v>
      </c>
      <c r="H51" s="35">
        <f>IF(G51&gt;0,VLOOKUP(A51,Wechsel!$A$11:$E$31,3),H50)</f>
        <v>0</v>
      </c>
      <c r="I51" s="35">
        <f>IF(G51&gt;0,VLOOKUP(A51,Wechsel!$A$11:$E$31,4),I50)</f>
        <v>0</v>
      </c>
      <c r="J51" s="35">
        <f>IF(G51&gt;0,VLOOKUP(A51,Wechsel!$A$11:$E$31,5),J50)</f>
        <v>1</v>
      </c>
      <c r="K51" s="52">
        <f t="shared" si="9"/>
        <v>0</v>
      </c>
      <c r="L51" s="53">
        <f t="shared" si="10"/>
        <v>0</v>
      </c>
      <c r="M51" s="54">
        <f t="shared" si="16"/>
        <v>0</v>
      </c>
      <c r="N51" s="59">
        <f t="shared" si="5"/>
        <v>1</v>
      </c>
      <c r="O51" s="53">
        <f t="shared" si="11"/>
        <v>0</v>
      </c>
      <c r="P51" s="52">
        <f>MAX(P50-Eingabe!$E$28,0)</f>
        <v>0</v>
      </c>
      <c r="Q51" s="60">
        <f t="shared" si="6"/>
        <v>0</v>
      </c>
      <c r="R51" s="60">
        <f t="shared" si="12"/>
        <v>0</v>
      </c>
      <c r="S51" s="60">
        <f>Eingabe!$C$25+Eingabe!$E$25*'Berechnung EB heute'!F51</f>
        <v>39</v>
      </c>
      <c r="T51" s="4">
        <f t="shared" si="8"/>
        <v>-39</v>
      </c>
    </row>
    <row r="52" spans="1:20">
      <c r="A52" s="27">
        <v>42</v>
      </c>
      <c r="B52" s="3">
        <f t="shared" si="0"/>
        <v>0.01</v>
      </c>
      <c r="C52" s="40">
        <v>0</v>
      </c>
      <c r="D52" s="40">
        <f t="shared" si="13"/>
        <v>0</v>
      </c>
      <c r="E52" s="47">
        <f t="shared" si="14"/>
        <v>0</v>
      </c>
      <c r="F52" s="47">
        <f t="shared" si="15"/>
        <v>0</v>
      </c>
      <c r="G52" s="27">
        <f>IF(VLOOKUP(A52,Wechsel!$A$11:$E$31,1)=A52,VLOOKUP(A52,Wechsel!$A$11:$E$31,1),0)</f>
        <v>0</v>
      </c>
      <c r="H52" s="35">
        <f>IF(G52&gt;0,VLOOKUP(A52,Wechsel!$A$11:$E$31,3),H51)</f>
        <v>0</v>
      </c>
      <c r="I52" s="35">
        <f>IF(G52&gt;0,VLOOKUP(A52,Wechsel!$A$11:$E$31,4),I51)</f>
        <v>0</v>
      </c>
      <c r="J52" s="35">
        <f>IF(G52&gt;0,VLOOKUP(A52,Wechsel!$A$11:$E$31,5),J51)</f>
        <v>1</v>
      </c>
      <c r="K52" s="52">
        <f t="shared" si="9"/>
        <v>0</v>
      </c>
      <c r="L52" s="53">
        <f t="shared" si="10"/>
        <v>0</v>
      </c>
      <c r="M52" s="54">
        <f t="shared" si="16"/>
        <v>0</v>
      </c>
      <c r="N52" s="59">
        <f t="shared" si="5"/>
        <v>1</v>
      </c>
      <c r="O52" s="53">
        <f t="shared" si="11"/>
        <v>0</v>
      </c>
      <c r="P52" s="52">
        <f>MAX(P51-Eingabe!$E$28,0)</f>
        <v>0</v>
      </c>
      <c r="Q52" s="60">
        <f t="shared" si="6"/>
        <v>0</v>
      </c>
      <c r="R52" s="60">
        <f t="shared" si="12"/>
        <v>0</v>
      </c>
      <c r="S52" s="60">
        <f>Eingabe!$C$25+Eingabe!$E$25*'Berechnung EB heute'!F52</f>
        <v>39</v>
      </c>
      <c r="T52" s="4">
        <f t="shared" si="8"/>
        <v>-39</v>
      </c>
    </row>
    <row r="53" spans="1:20">
      <c r="A53" s="27">
        <v>43</v>
      </c>
      <c r="B53" s="3">
        <f t="shared" si="0"/>
        <v>0.01</v>
      </c>
      <c r="C53" s="40">
        <v>0</v>
      </c>
      <c r="D53" s="40">
        <f t="shared" si="13"/>
        <v>0</v>
      </c>
      <c r="E53" s="47">
        <f t="shared" si="14"/>
        <v>0</v>
      </c>
      <c r="F53" s="47">
        <f t="shared" si="15"/>
        <v>0</v>
      </c>
      <c r="G53" s="27">
        <f>IF(VLOOKUP(A53,Wechsel!$A$11:$E$31,1)=A53,VLOOKUP(A53,Wechsel!$A$11:$E$31,1),0)</f>
        <v>0</v>
      </c>
      <c r="H53" s="35">
        <f>IF(G53&gt;0,VLOOKUP(A53,Wechsel!$A$11:$E$31,3),H52)</f>
        <v>0</v>
      </c>
      <c r="I53" s="35">
        <f>IF(G53&gt;0,VLOOKUP(A53,Wechsel!$A$11:$E$31,4),I52)</f>
        <v>0</v>
      </c>
      <c r="J53" s="35">
        <f>IF(G53&gt;0,VLOOKUP(A53,Wechsel!$A$11:$E$31,5),J52)</f>
        <v>1</v>
      </c>
      <c r="K53" s="52">
        <f t="shared" si="9"/>
        <v>0</v>
      </c>
      <c r="L53" s="53">
        <f t="shared" si="10"/>
        <v>0</v>
      </c>
      <c r="M53" s="54">
        <f t="shared" si="16"/>
        <v>0</v>
      </c>
      <c r="N53" s="59">
        <f t="shared" si="5"/>
        <v>1</v>
      </c>
      <c r="O53" s="53">
        <f t="shared" si="11"/>
        <v>0</v>
      </c>
      <c r="P53" s="52">
        <f>MAX(P52-Eingabe!$E$28,0)</f>
        <v>0</v>
      </c>
      <c r="Q53" s="60">
        <f t="shared" si="6"/>
        <v>0</v>
      </c>
      <c r="R53" s="60">
        <f t="shared" si="12"/>
        <v>0</v>
      </c>
      <c r="S53" s="60">
        <f>Eingabe!$C$25+Eingabe!$E$25*'Berechnung EB heute'!F53</f>
        <v>39</v>
      </c>
      <c r="T53" s="4">
        <f t="shared" si="8"/>
        <v>-39</v>
      </c>
    </row>
    <row r="54" spans="1:20">
      <c r="A54" s="27">
        <v>44</v>
      </c>
      <c r="B54" s="3">
        <f t="shared" si="0"/>
        <v>0.01</v>
      </c>
      <c r="C54" s="40">
        <v>0</v>
      </c>
      <c r="D54" s="40">
        <f t="shared" si="13"/>
        <v>0</v>
      </c>
      <c r="E54" s="47">
        <f t="shared" si="14"/>
        <v>0</v>
      </c>
      <c r="F54" s="47">
        <f t="shared" si="15"/>
        <v>0</v>
      </c>
      <c r="G54" s="27">
        <f>IF(VLOOKUP(A54,Wechsel!$A$11:$E$31,1)=A54,VLOOKUP(A54,Wechsel!$A$11:$E$31,1),0)</f>
        <v>0</v>
      </c>
      <c r="H54" s="35">
        <f>IF(G54&gt;0,VLOOKUP(A54,Wechsel!$A$11:$E$31,3),H53)</f>
        <v>0</v>
      </c>
      <c r="I54" s="35">
        <f>IF(G54&gt;0,VLOOKUP(A54,Wechsel!$A$11:$E$31,4),I53)</f>
        <v>0</v>
      </c>
      <c r="J54" s="35">
        <f>IF(G54&gt;0,VLOOKUP(A54,Wechsel!$A$11:$E$31,5),J53)</f>
        <v>1</v>
      </c>
      <c r="K54" s="52">
        <f t="shared" si="9"/>
        <v>0</v>
      </c>
      <c r="L54" s="53">
        <f t="shared" si="10"/>
        <v>0</v>
      </c>
      <c r="M54" s="54">
        <f t="shared" si="16"/>
        <v>0</v>
      </c>
      <c r="N54" s="59">
        <f t="shared" si="5"/>
        <v>1</v>
      </c>
      <c r="O54" s="53">
        <f t="shared" si="11"/>
        <v>0</v>
      </c>
      <c r="P54" s="52">
        <f>MAX(P53-Eingabe!$E$28,0)</f>
        <v>0</v>
      </c>
      <c r="Q54" s="60">
        <f t="shared" si="6"/>
        <v>0</v>
      </c>
      <c r="R54" s="60">
        <f t="shared" si="12"/>
        <v>0</v>
      </c>
      <c r="S54" s="60">
        <f>Eingabe!$C$25+Eingabe!$E$25*'Berechnung EB heute'!F54</f>
        <v>39</v>
      </c>
      <c r="T54" s="4">
        <f t="shared" si="8"/>
        <v>-39</v>
      </c>
    </row>
    <row r="55" spans="1:20">
      <c r="A55" s="27">
        <v>45</v>
      </c>
      <c r="B55" s="3">
        <f t="shared" si="0"/>
        <v>0.01</v>
      </c>
      <c r="C55" s="40">
        <v>0</v>
      </c>
      <c r="D55" s="40">
        <f t="shared" si="13"/>
        <v>0</v>
      </c>
      <c r="E55" s="47">
        <f t="shared" si="14"/>
        <v>0</v>
      </c>
      <c r="F55" s="47">
        <f t="shared" si="15"/>
        <v>0</v>
      </c>
      <c r="G55" s="27">
        <f>IF(VLOOKUP(A55,Wechsel!$A$11:$E$31,1)=A55,VLOOKUP(A55,Wechsel!$A$11:$E$31,1),0)</f>
        <v>0</v>
      </c>
      <c r="H55" s="35">
        <f>IF(G55&gt;0,VLOOKUP(A55,Wechsel!$A$11:$E$31,3),H54)</f>
        <v>0</v>
      </c>
      <c r="I55" s="35">
        <f>IF(G55&gt;0,VLOOKUP(A55,Wechsel!$A$11:$E$31,4),I54)</f>
        <v>0</v>
      </c>
      <c r="J55" s="35">
        <f>IF(G55&gt;0,VLOOKUP(A55,Wechsel!$A$11:$E$31,5),J54)</f>
        <v>1</v>
      </c>
      <c r="K55" s="52">
        <f t="shared" si="9"/>
        <v>0</v>
      </c>
      <c r="L55" s="53">
        <f t="shared" si="10"/>
        <v>0</v>
      </c>
      <c r="M55" s="54">
        <f t="shared" si="16"/>
        <v>0</v>
      </c>
      <c r="N55" s="59">
        <f t="shared" si="5"/>
        <v>1</v>
      </c>
      <c r="O55" s="53">
        <f t="shared" si="11"/>
        <v>0</v>
      </c>
      <c r="P55" s="52">
        <f>MAX(P54-Eingabe!$E$28,0)</f>
        <v>0</v>
      </c>
      <c r="Q55" s="60">
        <f t="shared" si="6"/>
        <v>0</v>
      </c>
      <c r="R55" s="60">
        <f t="shared" si="12"/>
        <v>0</v>
      </c>
      <c r="S55" s="60">
        <f>Eingabe!$C$25+Eingabe!$E$25*'Berechnung EB heute'!F55</f>
        <v>39</v>
      </c>
      <c r="T55" s="4">
        <f t="shared" si="8"/>
        <v>-39</v>
      </c>
    </row>
    <row r="56" spans="1:20">
      <c r="A56" s="27">
        <v>46</v>
      </c>
      <c r="B56" s="3">
        <f t="shared" si="0"/>
        <v>0.01</v>
      </c>
      <c r="C56" s="40">
        <v>0</v>
      </c>
      <c r="D56" s="40">
        <f t="shared" si="13"/>
        <v>0</v>
      </c>
      <c r="E56" s="47">
        <f t="shared" si="14"/>
        <v>0</v>
      </c>
      <c r="F56" s="47">
        <f t="shared" si="15"/>
        <v>0</v>
      </c>
      <c r="G56" s="27">
        <f>IF(VLOOKUP(A56,Wechsel!$A$11:$E$31,1)=A56,VLOOKUP(A56,Wechsel!$A$11:$E$31,1),0)</f>
        <v>0</v>
      </c>
      <c r="H56" s="35">
        <f>IF(G56&gt;0,VLOOKUP(A56,Wechsel!$A$11:$E$31,3),H55)</f>
        <v>0</v>
      </c>
      <c r="I56" s="35">
        <f>IF(G56&gt;0,VLOOKUP(A56,Wechsel!$A$11:$E$31,4),I55)</f>
        <v>0</v>
      </c>
      <c r="J56" s="35">
        <f>IF(G56&gt;0,VLOOKUP(A56,Wechsel!$A$11:$E$31,5),J55)</f>
        <v>1</v>
      </c>
      <c r="K56" s="52">
        <f t="shared" si="9"/>
        <v>0</v>
      </c>
      <c r="L56" s="53">
        <f t="shared" si="10"/>
        <v>0</v>
      </c>
      <c r="M56" s="54">
        <f t="shared" si="16"/>
        <v>0</v>
      </c>
      <c r="N56" s="59">
        <f t="shared" si="5"/>
        <v>1</v>
      </c>
      <c r="O56" s="53">
        <f t="shared" si="11"/>
        <v>0</v>
      </c>
      <c r="P56" s="52">
        <f>MAX(P55-Eingabe!$E$28,0)</f>
        <v>0</v>
      </c>
      <c r="Q56" s="60">
        <f t="shared" si="6"/>
        <v>0</v>
      </c>
      <c r="R56" s="60">
        <f t="shared" si="12"/>
        <v>0</v>
      </c>
      <c r="S56" s="60">
        <f>Eingabe!$C$25+Eingabe!$E$25*'Berechnung EB heute'!F56</f>
        <v>39</v>
      </c>
      <c r="T56" s="4">
        <f t="shared" si="8"/>
        <v>-39</v>
      </c>
    </row>
    <row r="57" spans="1:20">
      <c r="A57" s="27">
        <v>47</v>
      </c>
      <c r="B57" s="3">
        <f t="shared" si="0"/>
        <v>0.01</v>
      </c>
      <c r="C57" s="40">
        <v>0</v>
      </c>
      <c r="D57" s="40">
        <f t="shared" si="13"/>
        <v>0</v>
      </c>
      <c r="E57" s="47">
        <f t="shared" si="14"/>
        <v>0</v>
      </c>
      <c r="F57" s="47">
        <f t="shared" si="15"/>
        <v>0</v>
      </c>
      <c r="G57" s="27">
        <f>IF(VLOOKUP(A57,Wechsel!$A$11:$E$31,1)=A57,VLOOKUP(A57,Wechsel!$A$11:$E$31,1),0)</f>
        <v>0</v>
      </c>
      <c r="H57" s="35">
        <f>IF(G57&gt;0,VLOOKUP(A57,Wechsel!$A$11:$E$31,3),H56)</f>
        <v>0</v>
      </c>
      <c r="I57" s="35">
        <f>IF(G57&gt;0,VLOOKUP(A57,Wechsel!$A$11:$E$31,4),I56)</f>
        <v>0</v>
      </c>
      <c r="J57" s="35">
        <f>IF(G57&gt;0,VLOOKUP(A57,Wechsel!$A$11:$E$31,5),J56)</f>
        <v>1</v>
      </c>
      <c r="K57" s="52">
        <f t="shared" si="9"/>
        <v>0</v>
      </c>
      <c r="L57" s="53">
        <f t="shared" si="10"/>
        <v>0</v>
      </c>
      <c r="M57" s="54">
        <f t="shared" si="16"/>
        <v>0</v>
      </c>
      <c r="N57" s="59">
        <f t="shared" si="5"/>
        <v>1</v>
      </c>
      <c r="O57" s="53">
        <f t="shared" si="11"/>
        <v>0</v>
      </c>
      <c r="P57" s="52">
        <f>MAX(P56-Eingabe!$E$28,0)</f>
        <v>0</v>
      </c>
      <c r="Q57" s="60">
        <f t="shared" si="6"/>
        <v>0</v>
      </c>
      <c r="R57" s="60">
        <f t="shared" si="12"/>
        <v>0</v>
      </c>
      <c r="S57" s="60">
        <f>Eingabe!$C$25+Eingabe!$E$25*'Berechnung EB heute'!F57</f>
        <v>39</v>
      </c>
      <c r="T57" s="4">
        <f t="shared" si="8"/>
        <v>-39</v>
      </c>
    </row>
    <row r="58" spans="1:20">
      <c r="A58" s="27">
        <v>48</v>
      </c>
      <c r="B58" s="3">
        <f t="shared" si="0"/>
        <v>0.01</v>
      </c>
      <c r="C58" s="40">
        <v>0</v>
      </c>
      <c r="D58" s="40">
        <f t="shared" si="13"/>
        <v>0</v>
      </c>
      <c r="E58" s="47">
        <f t="shared" si="14"/>
        <v>0</v>
      </c>
      <c r="F58" s="47">
        <f t="shared" si="15"/>
        <v>0</v>
      </c>
      <c r="G58" s="27">
        <f>IF(VLOOKUP(A58,Wechsel!$A$11:$E$31,1)=A58,VLOOKUP(A58,Wechsel!$A$11:$E$31,1),0)</f>
        <v>0</v>
      </c>
      <c r="H58" s="35">
        <f>IF(G58&gt;0,VLOOKUP(A58,Wechsel!$A$11:$E$31,3),H57)</f>
        <v>0</v>
      </c>
      <c r="I58" s="35">
        <f>IF(G58&gt;0,VLOOKUP(A58,Wechsel!$A$11:$E$31,4),I57)</f>
        <v>0</v>
      </c>
      <c r="J58" s="35">
        <f>IF(G58&gt;0,VLOOKUP(A58,Wechsel!$A$11:$E$31,5),J57)</f>
        <v>1</v>
      </c>
      <c r="K58" s="52">
        <f t="shared" si="9"/>
        <v>0</v>
      </c>
      <c r="L58" s="53">
        <f t="shared" si="10"/>
        <v>0</v>
      </c>
      <c r="M58" s="54">
        <f t="shared" si="16"/>
        <v>0</v>
      </c>
      <c r="N58" s="59">
        <f t="shared" si="5"/>
        <v>1</v>
      </c>
      <c r="O58" s="53">
        <f t="shared" si="11"/>
        <v>0</v>
      </c>
      <c r="P58" s="52">
        <f>MAX(P57-Eingabe!$E$28,0)</f>
        <v>0</v>
      </c>
      <c r="Q58" s="60">
        <f t="shared" si="6"/>
        <v>0</v>
      </c>
      <c r="R58" s="60">
        <f t="shared" si="12"/>
        <v>0</v>
      </c>
      <c r="S58" s="60">
        <f>Eingabe!$C$25+Eingabe!$E$25*'Berechnung EB heute'!F58</f>
        <v>39</v>
      </c>
      <c r="T58" s="4">
        <f t="shared" si="8"/>
        <v>-39</v>
      </c>
    </row>
    <row r="59" spans="1:20">
      <c r="A59" s="27">
        <v>49</v>
      </c>
      <c r="B59" s="3">
        <f t="shared" si="0"/>
        <v>0.01</v>
      </c>
      <c r="C59" s="40">
        <v>0</v>
      </c>
      <c r="D59" s="40">
        <f t="shared" si="13"/>
        <v>0</v>
      </c>
      <c r="E59" s="47">
        <f t="shared" si="14"/>
        <v>0</v>
      </c>
      <c r="F59" s="47">
        <f t="shared" si="15"/>
        <v>0</v>
      </c>
      <c r="G59" s="27">
        <f>IF(VLOOKUP(A59,Wechsel!$A$11:$E$31,1)=A59,VLOOKUP(A59,Wechsel!$A$11:$E$31,1),0)</f>
        <v>0</v>
      </c>
      <c r="H59" s="35">
        <f>IF(G59&gt;0,VLOOKUP(A59,Wechsel!$A$11:$E$31,3),H58)</f>
        <v>0</v>
      </c>
      <c r="I59" s="35">
        <f>IF(G59&gt;0,VLOOKUP(A59,Wechsel!$A$11:$E$31,4),I58)</f>
        <v>0</v>
      </c>
      <c r="J59" s="35">
        <f>IF(G59&gt;0,VLOOKUP(A59,Wechsel!$A$11:$E$31,5),J58)</f>
        <v>1</v>
      </c>
      <c r="K59" s="52">
        <f t="shared" si="9"/>
        <v>0</v>
      </c>
      <c r="L59" s="53">
        <f t="shared" si="10"/>
        <v>0</v>
      </c>
      <c r="M59" s="54">
        <f t="shared" si="16"/>
        <v>0</v>
      </c>
      <c r="N59" s="59">
        <f t="shared" si="5"/>
        <v>1</v>
      </c>
      <c r="O59" s="53">
        <f t="shared" si="11"/>
        <v>0</v>
      </c>
      <c r="P59" s="52">
        <f>MAX(P58-Eingabe!$E$28,0)</f>
        <v>0</v>
      </c>
      <c r="Q59" s="60">
        <f t="shared" si="6"/>
        <v>0</v>
      </c>
      <c r="R59" s="60">
        <f t="shared" si="12"/>
        <v>0</v>
      </c>
      <c r="S59" s="60">
        <f>Eingabe!$C$25+Eingabe!$E$25*'Berechnung EB heute'!F59</f>
        <v>39</v>
      </c>
      <c r="T59" s="4">
        <f t="shared" si="8"/>
        <v>-39</v>
      </c>
    </row>
    <row r="60" spans="1:20">
      <c r="A60" s="27">
        <v>50</v>
      </c>
      <c r="B60" s="3">
        <f t="shared" si="0"/>
        <v>0.01</v>
      </c>
      <c r="C60" s="40">
        <v>0</v>
      </c>
      <c r="D60" s="40">
        <f t="shared" si="13"/>
        <v>0</v>
      </c>
      <c r="E60" s="47">
        <f t="shared" si="14"/>
        <v>0</v>
      </c>
      <c r="F60" s="47">
        <f t="shared" si="15"/>
        <v>0</v>
      </c>
      <c r="G60" s="27">
        <f>IF(VLOOKUP(A60,Wechsel!$A$11:$E$31,1)=A60,VLOOKUP(A60,Wechsel!$A$11:$E$31,1),0)</f>
        <v>0</v>
      </c>
      <c r="H60" s="35">
        <f>IF(G60&gt;0,VLOOKUP(A60,Wechsel!$A$11:$E$31,3),H59)</f>
        <v>0</v>
      </c>
      <c r="I60" s="35">
        <f>IF(G60&gt;0,VLOOKUP(A60,Wechsel!$A$11:$E$31,4),I59)</f>
        <v>0</v>
      </c>
      <c r="J60" s="35">
        <f>IF(G60&gt;0,VLOOKUP(A60,Wechsel!$A$11:$E$31,5),J59)</f>
        <v>1</v>
      </c>
      <c r="K60" s="52">
        <f t="shared" si="9"/>
        <v>0</v>
      </c>
      <c r="L60" s="53">
        <f t="shared" si="10"/>
        <v>0</v>
      </c>
      <c r="M60" s="54">
        <f t="shared" si="16"/>
        <v>0</v>
      </c>
      <c r="N60" s="59">
        <f t="shared" si="5"/>
        <v>1</v>
      </c>
      <c r="O60" s="53">
        <f t="shared" si="11"/>
        <v>0</v>
      </c>
      <c r="P60" s="52">
        <f>MAX(P59-Eingabe!$E$28,0)</f>
        <v>0</v>
      </c>
      <c r="Q60" s="60">
        <f t="shared" si="6"/>
        <v>0</v>
      </c>
      <c r="R60" s="60">
        <f t="shared" si="12"/>
        <v>0</v>
      </c>
      <c r="S60" s="60">
        <f>Eingabe!$C$25+Eingabe!$E$25*'Berechnung EB heute'!F60</f>
        <v>39</v>
      </c>
      <c r="T60" s="4">
        <f t="shared" si="8"/>
        <v>-39</v>
      </c>
    </row>
    <row r="61" spans="1:20">
      <c r="A61" s="190">
        <v>51</v>
      </c>
      <c r="B61" s="3">
        <f t="shared" ref="B61:B70" si="17">$G$3*H60+$H$3*I60+$I$3*J60</f>
        <v>0.01</v>
      </c>
      <c r="C61" s="40">
        <v>0</v>
      </c>
      <c r="D61" s="40">
        <f t="shared" ref="D61:D70" si="18">IF(A61&gt;$B$3,0,T60)</f>
        <v>0</v>
      </c>
      <c r="E61" s="47">
        <f t="shared" ref="E61:E70" si="19">(C61+D61)*$B$1</f>
        <v>0</v>
      </c>
      <c r="F61" s="47">
        <f t="shared" ref="F61:F70" si="20">IF(A61&gt;$B$3,0,C61+E61+D61)</f>
        <v>0</v>
      </c>
      <c r="G61" s="190">
        <f>IF(VLOOKUP(A61,Wechsel!$A$11:$E$31,1)=A61,VLOOKUP(A61,Wechsel!$A$11:$E$31,1),0)</f>
        <v>0</v>
      </c>
      <c r="H61" s="35">
        <f>IF(G61&gt;0,VLOOKUP(A61,Wechsel!$A$11:$E$31,3),H60)</f>
        <v>0</v>
      </c>
      <c r="I61" s="35">
        <f>IF(G61&gt;0,VLOOKUP(A61,Wechsel!$A$11:$E$31,4),I60)</f>
        <v>0</v>
      </c>
      <c r="J61" s="35">
        <f>IF(G61&gt;0,VLOOKUP(A61,Wechsel!$A$11:$E$31,5),J60)</f>
        <v>1</v>
      </c>
      <c r="K61" s="52">
        <f t="shared" ref="K61:K70" si="21">D61*$M$1*0.7*0.7*$M$2*H61+D61*$M$1*0.85*0.7*$M$2*I61+D61*$M$1*0.7*$M$2*J61</f>
        <v>0</v>
      </c>
      <c r="L61" s="53">
        <f t="shared" ref="L61:L70" si="22">IF(G60&gt;0,K61,K61+L60)</f>
        <v>0</v>
      </c>
      <c r="M61" s="54">
        <f t="shared" ref="M61:M70" si="23">IF(A61&gt;$B$3,0,IF(G60&gt;0,T60,C61+M60))</f>
        <v>0</v>
      </c>
      <c r="N61" s="59">
        <f t="shared" ref="N61:N70" si="24">1-(H61*$G$5+I61*$H$5+J61*$I$5)</f>
        <v>1</v>
      </c>
      <c r="O61" s="53">
        <f t="shared" ref="O61:O70" si="25">IF(G61&gt;0,(F61-M61)*N60,0)</f>
        <v>0</v>
      </c>
      <c r="P61" s="52">
        <f>MAX(P60-Eingabe!$E$28,0)</f>
        <v>0</v>
      </c>
      <c r="Q61" s="60">
        <f t="shared" ref="Q61:Q70" si="26">MAX(0,K61+O61*$M$2-P61-IF(G61&gt;0,-(L60+K61),0))</f>
        <v>0</v>
      </c>
      <c r="R61" s="60">
        <f t="shared" ref="R61:R70" si="27">MAX(IF(G61&gt;0,(H61*$G$4+I61*$H$4+J61*$I$4)*(F61-Q61),0),0)</f>
        <v>0</v>
      </c>
      <c r="S61" s="60">
        <f>Eingabe!$C$25+Eingabe!$E$25*'Berechnung EB heute'!F61</f>
        <v>39</v>
      </c>
      <c r="T61" s="4">
        <f t="shared" ref="T61:T70" si="28">F61-Q61-R61-S61</f>
        <v>-39</v>
      </c>
    </row>
    <row r="62" spans="1:20">
      <c r="A62" s="190">
        <v>52</v>
      </c>
      <c r="B62" s="3">
        <f t="shared" si="17"/>
        <v>0.01</v>
      </c>
      <c r="C62" s="40">
        <v>0</v>
      </c>
      <c r="D62" s="40">
        <f t="shared" si="18"/>
        <v>0</v>
      </c>
      <c r="E62" s="47">
        <f t="shared" si="19"/>
        <v>0</v>
      </c>
      <c r="F62" s="47">
        <f t="shared" si="20"/>
        <v>0</v>
      </c>
      <c r="G62" s="190">
        <f>IF(VLOOKUP(A62,Wechsel!$A$11:$E$31,1)=A62,VLOOKUP(A62,Wechsel!$A$11:$E$31,1),0)</f>
        <v>0</v>
      </c>
      <c r="H62" s="35">
        <f>IF(G62&gt;0,VLOOKUP(A62,Wechsel!$A$11:$E$31,3),H61)</f>
        <v>0</v>
      </c>
      <c r="I62" s="35">
        <f>IF(G62&gt;0,VLOOKUP(A62,Wechsel!$A$11:$E$31,4),I61)</f>
        <v>0</v>
      </c>
      <c r="J62" s="35">
        <f>IF(G62&gt;0,VLOOKUP(A62,Wechsel!$A$11:$E$31,5),J61)</f>
        <v>1</v>
      </c>
      <c r="K62" s="52">
        <f t="shared" si="21"/>
        <v>0</v>
      </c>
      <c r="L62" s="53">
        <f t="shared" si="22"/>
        <v>0</v>
      </c>
      <c r="M62" s="54">
        <f t="shared" si="23"/>
        <v>0</v>
      </c>
      <c r="N62" s="59">
        <f t="shared" si="24"/>
        <v>1</v>
      </c>
      <c r="O62" s="53">
        <f t="shared" si="25"/>
        <v>0</v>
      </c>
      <c r="P62" s="52">
        <f>MAX(P61-Eingabe!$E$28,0)</f>
        <v>0</v>
      </c>
      <c r="Q62" s="60">
        <f t="shared" si="26"/>
        <v>0</v>
      </c>
      <c r="R62" s="60">
        <f t="shared" si="27"/>
        <v>0</v>
      </c>
      <c r="S62" s="60">
        <f>Eingabe!$C$25+Eingabe!$E$25*'Berechnung EB heute'!F62</f>
        <v>39</v>
      </c>
      <c r="T62" s="4">
        <f t="shared" si="28"/>
        <v>-39</v>
      </c>
    </row>
    <row r="63" spans="1:20">
      <c r="A63" s="190">
        <v>53</v>
      </c>
      <c r="B63" s="3">
        <f t="shared" si="17"/>
        <v>0.01</v>
      </c>
      <c r="C63" s="40">
        <v>0</v>
      </c>
      <c r="D63" s="40">
        <f t="shared" si="18"/>
        <v>0</v>
      </c>
      <c r="E63" s="47">
        <f t="shared" si="19"/>
        <v>0</v>
      </c>
      <c r="F63" s="47">
        <f t="shared" si="20"/>
        <v>0</v>
      </c>
      <c r="G63" s="190">
        <f>IF(VLOOKUP(A63,Wechsel!$A$11:$E$31,1)=A63,VLOOKUP(A63,Wechsel!$A$11:$E$31,1),0)</f>
        <v>0</v>
      </c>
      <c r="H63" s="35">
        <f>IF(G63&gt;0,VLOOKUP(A63,Wechsel!$A$11:$E$31,3),H62)</f>
        <v>0</v>
      </c>
      <c r="I63" s="35">
        <f>IF(G63&gt;0,VLOOKUP(A63,Wechsel!$A$11:$E$31,4),I62)</f>
        <v>0</v>
      </c>
      <c r="J63" s="35">
        <f>IF(G63&gt;0,VLOOKUP(A63,Wechsel!$A$11:$E$31,5),J62)</f>
        <v>1</v>
      </c>
      <c r="K63" s="52">
        <f t="shared" si="21"/>
        <v>0</v>
      </c>
      <c r="L63" s="53">
        <f t="shared" si="22"/>
        <v>0</v>
      </c>
      <c r="M63" s="54">
        <f t="shared" si="23"/>
        <v>0</v>
      </c>
      <c r="N63" s="59">
        <f t="shared" si="24"/>
        <v>1</v>
      </c>
      <c r="O63" s="53">
        <f t="shared" si="25"/>
        <v>0</v>
      </c>
      <c r="P63" s="52">
        <f>MAX(P62-Eingabe!$E$28,0)</f>
        <v>0</v>
      </c>
      <c r="Q63" s="60">
        <f t="shared" si="26"/>
        <v>0</v>
      </c>
      <c r="R63" s="60">
        <f t="shared" si="27"/>
        <v>0</v>
      </c>
      <c r="S63" s="60">
        <f>Eingabe!$C$25+Eingabe!$E$25*'Berechnung EB heute'!F63</f>
        <v>39</v>
      </c>
      <c r="T63" s="4">
        <f t="shared" si="28"/>
        <v>-39</v>
      </c>
    </row>
    <row r="64" spans="1:20">
      <c r="A64" s="190">
        <v>54</v>
      </c>
      <c r="B64" s="3">
        <f t="shared" si="17"/>
        <v>0.01</v>
      </c>
      <c r="C64" s="40">
        <v>0</v>
      </c>
      <c r="D64" s="40">
        <f t="shared" si="18"/>
        <v>0</v>
      </c>
      <c r="E64" s="47">
        <f t="shared" si="19"/>
        <v>0</v>
      </c>
      <c r="F64" s="47">
        <f t="shared" si="20"/>
        <v>0</v>
      </c>
      <c r="G64" s="190">
        <f>IF(VLOOKUP(A64,Wechsel!$A$11:$E$31,1)=A64,VLOOKUP(A64,Wechsel!$A$11:$E$31,1),0)</f>
        <v>0</v>
      </c>
      <c r="H64" s="35">
        <f>IF(G64&gt;0,VLOOKUP(A64,Wechsel!$A$11:$E$31,3),H63)</f>
        <v>0</v>
      </c>
      <c r="I64" s="35">
        <f>IF(G64&gt;0,VLOOKUP(A64,Wechsel!$A$11:$E$31,4),I63)</f>
        <v>0</v>
      </c>
      <c r="J64" s="35">
        <f>IF(G64&gt;0,VLOOKUP(A64,Wechsel!$A$11:$E$31,5),J63)</f>
        <v>1</v>
      </c>
      <c r="K64" s="52">
        <f t="shared" si="21"/>
        <v>0</v>
      </c>
      <c r="L64" s="53">
        <f t="shared" si="22"/>
        <v>0</v>
      </c>
      <c r="M64" s="54">
        <f t="shared" si="23"/>
        <v>0</v>
      </c>
      <c r="N64" s="59">
        <f t="shared" si="24"/>
        <v>1</v>
      </c>
      <c r="O64" s="53">
        <f t="shared" si="25"/>
        <v>0</v>
      </c>
      <c r="P64" s="52">
        <f>MAX(P63-Eingabe!$E$28,0)</f>
        <v>0</v>
      </c>
      <c r="Q64" s="60">
        <f t="shared" si="26"/>
        <v>0</v>
      </c>
      <c r="R64" s="60">
        <f t="shared" si="27"/>
        <v>0</v>
      </c>
      <c r="S64" s="60">
        <f>Eingabe!$C$25+Eingabe!$E$25*'Berechnung EB heute'!F64</f>
        <v>39</v>
      </c>
      <c r="T64" s="4">
        <f t="shared" si="28"/>
        <v>-39</v>
      </c>
    </row>
    <row r="65" spans="1:20">
      <c r="A65" s="190">
        <v>55</v>
      </c>
      <c r="B65" s="3">
        <f t="shared" si="17"/>
        <v>0.01</v>
      </c>
      <c r="C65" s="40">
        <v>0</v>
      </c>
      <c r="D65" s="40">
        <f t="shared" si="18"/>
        <v>0</v>
      </c>
      <c r="E65" s="47">
        <f t="shared" si="19"/>
        <v>0</v>
      </c>
      <c r="F65" s="47">
        <f t="shared" si="20"/>
        <v>0</v>
      </c>
      <c r="G65" s="190">
        <f>IF(VLOOKUP(A65,Wechsel!$A$11:$E$31,1)=A65,VLOOKUP(A65,Wechsel!$A$11:$E$31,1),0)</f>
        <v>0</v>
      </c>
      <c r="H65" s="35">
        <f>IF(G65&gt;0,VLOOKUP(A65,Wechsel!$A$11:$E$31,3),H64)</f>
        <v>0</v>
      </c>
      <c r="I65" s="35">
        <f>IF(G65&gt;0,VLOOKUP(A65,Wechsel!$A$11:$E$31,4),I64)</f>
        <v>0</v>
      </c>
      <c r="J65" s="35">
        <f>IF(G65&gt;0,VLOOKUP(A65,Wechsel!$A$11:$E$31,5),J64)</f>
        <v>1</v>
      </c>
      <c r="K65" s="52">
        <f t="shared" si="21"/>
        <v>0</v>
      </c>
      <c r="L65" s="53">
        <f t="shared" si="22"/>
        <v>0</v>
      </c>
      <c r="M65" s="54">
        <f t="shared" si="23"/>
        <v>0</v>
      </c>
      <c r="N65" s="59">
        <f t="shared" si="24"/>
        <v>1</v>
      </c>
      <c r="O65" s="53">
        <f t="shared" si="25"/>
        <v>0</v>
      </c>
      <c r="P65" s="52">
        <f>MAX(P64-Eingabe!$E$28,0)</f>
        <v>0</v>
      </c>
      <c r="Q65" s="60">
        <f t="shared" si="26"/>
        <v>0</v>
      </c>
      <c r="R65" s="60">
        <f t="shared" si="27"/>
        <v>0</v>
      </c>
      <c r="S65" s="60">
        <f>Eingabe!$C$25+Eingabe!$E$25*'Berechnung EB heute'!F65</f>
        <v>39</v>
      </c>
      <c r="T65" s="4">
        <f t="shared" si="28"/>
        <v>-39</v>
      </c>
    </row>
    <row r="66" spans="1:20">
      <c r="A66" s="190">
        <v>56</v>
      </c>
      <c r="B66" s="3">
        <f t="shared" si="17"/>
        <v>0.01</v>
      </c>
      <c r="C66" s="40">
        <v>0</v>
      </c>
      <c r="D66" s="40">
        <f t="shared" si="18"/>
        <v>0</v>
      </c>
      <c r="E66" s="47">
        <f t="shared" si="19"/>
        <v>0</v>
      </c>
      <c r="F66" s="47">
        <f t="shared" si="20"/>
        <v>0</v>
      </c>
      <c r="G66" s="190">
        <f>IF(VLOOKUP(A66,Wechsel!$A$11:$E$31,1)=A66,VLOOKUP(A66,Wechsel!$A$11:$E$31,1),0)</f>
        <v>0</v>
      </c>
      <c r="H66" s="35">
        <f>IF(G66&gt;0,VLOOKUP(A66,Wechsel!$A$11:$E$31,3),H65)</f>
        <v>0</v>
      </c>
      <c r="I66" s="35">
        <f>IF(G66&gt;0,VLOOKUP(A66,Wechsel!$A$11:$E$31,4),I65)</f>
        <v>0</v>
      </c>
      <c r="J66" s="35">
        <f>IF(G66&gt;0,VLOOKUP(A66,Wechsel!$A$11:$E$31,5),J65)</f>
        <v>1</v>
      </c>
      <c r="K66" s="52">
        <f t="shared" si="21"/>
        <v>0</v>
      </c>
      <c r="L66" s="53">
        <f t="shared" si="22"/>
        <v>0</v>
      </c>
      <c r="M66" s="54">
        <f t="shared" si="23"/>
        <v>0</v>
      </c>
      <c r="N66" s="59">
        <f t="shared" si="24"/>
        <v>1</v>
      </c>
      <c r="O66" s="53">
        <f t="shared" si="25"/>
        <v>0</v>
      </c>
      <c r="P66" s="52">
        <f>MAX(P65-Eingabe!$E$28,0)</f>
        <v>0</v>
      </c>
      <c r="Q66" s="60">
        <f t="shared" si="26"/>
        <v>0</v>
      </c>
      <c r="R66" s="60">
        <f t="shared" si="27"/>
        <v>0</v>
      </c>
      <c r="S66" s="60">
        <f>Eingabe!$C$25+Eingabe!$E$25*'Berechnung EB heute'!F66</f>
        <v>39</v>
      </c>
      <c r="T66" s="4">
        <f t="shared" si="28"/>
        <v>-39</v>
      </c>
    </row>
    <row r="67" spans="1:20">
      <c r="A67" s="190">
        <v>57</v>
      </c>
      <c r="B67" s="3">
        <f t="shared" si="17"/>
        <v>0.01</v>
      </c>
      <c r="C67" s="40">
        <v>0</v>
      </c>
      <c r="D67" s="40">
        <f t="shared" si="18"/>
        <v>0</v>
      </c>
      <c r="E67" s="47">
        <f t="shared" si="19"/>
        <v>0</v>
      </c>
      <c r="F67" s="47">
        <f t="shared" si="20"/>
        <v>0</v>
      </c>
      <c r="G67" s="190">
        <f>IF(VLOOKUP(A67,Wechsel!$A$11:$E$31,1)=A67,VLOOKUP(A67,Wechsel!$A$11:$E$31,1),0)</f>
        <v>0</v>
      </c>
      <c r="H67" s="35">
        <f>IF(G67&gt;0,VLOOKUP(A67,Wechsel!$A$11:$E$31,3),H66)</f>
        <v>0</v>
      </c>
      <c r="I67" s="35">
        <f>IF(G67&gt;0,VLOOKUP(A67,Wechsel!$A$11:$E$31,4),I66)</f>
        <v>0</v>
      </c>
      <c r="J67" s="35">
        <f>IF(G67&gt;0,VLOOKUP(A67,Wechsel!$A$11:$E$31,5),J66)</f>
        <v>1</v>
      </c>
      <c r="K67" s="52">
        <f t="shared" si="21"/>
        <v>0</v>
      </c>
      <c r="L67" s="53">
        <f t="shared" si="22"/>
        <v>0</v>
      </c>
      <c r="M67" s="54">
        <f t="shared" si="23"/>
        <v>0</v>
      </c>
      <c r="N67" s="59">
        <f t="shared" si="24"/>
        <v>1</v>
      </c>
      <c r="O67" s="53">
        <f t="shared" si="25"/>
        <v>0</v>
      </c>
      <c r="P67" s="52">
        <f>MAX(P66-Eingabe!$E$28,0)</f>
        <v>0</v>
      </c>
      <c r="Q67" s="60">
        <f t="shared" si="26"/>
        <v>0</v>
      </c>
      <c r="R67" s="60">
        <f t="shared" si="27"/>
        <v>0</v>
      </c>
      <c r="S67" s="60">
        <f>Eingabe!$C$25+Eingabe!$E$25*'Berechnung EB heute'!F67</f>
        <v>39</v>
      </c>
      <c r="T67" s="4">
        <f t="shared" si="28"/>
        <v>-39</v>
      </c>
    </row>
    <row r="68" spans="1:20">
      <c r="A68" s="190">
        <v>58</v>
      </c>
      <c r="B68" s="3">
        <f t="shared" si="17"/>
        <v>0.01</v>
      </c>
      <c r="C68" s="40">
        <v>0</v>
      </c>
      <c r="D68" s="40">
        <f t="shared" si="18"/>
        <v>0</v>
      </c>
      <c r="E68" s="47">
        <f t="shared" si="19"/>
        <v>0</v>
      </c>
      <c r="F68" s="47">
        <f t="shared" si="20"/>
        <v>0</v>
      </c>
      <c r="G68" s="190">
        <f>IF(VLOOKUP(A68,Wechsel!$A$11:$E$31,1)=A68,VLOOKUP(A68,Wechsel!$A$11:$E$31,1),0)</f>
        <v>0</v>
      </c>
      <c r="H68" s="35">
        <f>IF(G68&gt;0,VLOOKUP(A68,Wechsel!$A$11:$E$31,3),H67)</f>
        <v>0</v>
      </c>
      <c r="I68" s="35">
        <f>IF(G68&gt;0,VLOOKUP(A68,Wechsel!$A$11:$E$31,4),I67)</f>
        <v>0</v>
      </c>
      <c r="J68" s="35">
        <f>IF(G68&gt;0,VLOOKUP(A68,Wechsel!$A$11:$E$31,5),J67)</f>
        <v>1</v>
      </c>
      <c r="K68" s="52">
        <f t="shared" si="21"/>
        <v>0</v>
      </c>
      <c r="L68" s="53">
        <f t="shared" si="22"/>
        <v>0</v>
      </c>
      <c r="M68" s="54">
        <f t="shared" si="23"/>
        <v>0</v>
      </c>
      <c r="N68" s="59">
        <f t="shared" si="24"/>
        <v>1</v>
      </c>
      <c r="O68" s="53">
        <f t="shared" si="25"/>
        <v>0</v>
      </c>
      <c r="P68" s="52">
        <f>MAX(P67-Eingabe!$E$28,0)</f>
        <v>0</v>
      </c>
      <c r="Q68" s="60">
        <f t="shared" si="26"/>
        <v>0</v>
      </c>
      <c r="R68" s="60">
        <f t="shared" si="27"/>
        <v>0</v>
      </c>
      <c r="S68" s="60">
        <f>Eingabe!$C$25+Eingabe!$E$25*'Berechnung EB heute'!F68</f>
        <v>39</v>
      </c>
      <c r="T68" s="4">
        <f t="shared" si="28"/>
        <v>-39</v>
      </c>
    </row>
    <row r="69" spans="1:20">
      <c r="A69" s="190">
        <v>59</v>
      </c>
      <c r="B69" s="3">
        <f t="shared" si="17"/>
        <v>0.01</v>
      </c>
      <c r="C69" s="40">
        <v>0</v>
      </c>
      <c r="D69" s="40">
        <f t="shared" si="18"/>
        <v>0</v>
      </c>
      <c r="E69" s="47">
        <f t="shared" si="19"/>
        <v>0</v>
      </c>
      <c r="F69" s="47">
        <f t="shared" si="20"/>
        <v>0</v>
      </c>
      <c r="G69" s="190">
        <f>IF(VLOOKUP(A69,Wechsel!$A$11:$E$31,1)=A69,VLOOKUP(A69,Wechsel!$A$11:$E$31,1),0)</f>
        <v>0</v>
      </c>
      <c r="H69" s="35">
        <f>IF(G69&gt;0,VLOOKUP(A69,Wechsel!$A$11:$E$31,3),H68)</f>
        <v>0</v>
      </c>
      <c r="I69" s="35">
        <f>IF(G69&gt;0,VLOOKUP(A69,Wechsel!$A$11:$E$31,4),I68)</f>
        <v>0</v>
      </c>
      <c r="J69" s="35">
        <f>IF(G69&gt;0,VLOOKUP(A69,Wechsel!$A$11:$E$31,5),J68)</f>
        <v>1</v>
      </c>
      <c r="K69" s="52">
        <f t="shared" si="21"/>
        <v>0</v>
      </c>
      <c r="L69" s="53">
        <f t="shared" si="22"/>
        <v>0</v>
      </c>
      <c r="M69" s="54">
        <f t="shared" si="23"/>
        <v>0</v>
      </c>
      <c r="N69" s="59">
        <f t="shared" si="24"/>
        <v>1</v>
      </c>
      <c r="O69" s="53">
        <f t="shared" si="25"/>
        <v>0</v>
      </c>
      <c r="P69" s="52">
        <f>MAX(P68-Eingabe!$E$28,0)</f>
        <v>0</v>
      </c>
      <c r="Q69" s="60">
        <f t="shared" si="26"/>
        <v>0</v>
      </c>
      <c r="R69" s="60">
        <f t="shared" si="27"/>
        <v>0</v>
      </c>
      <c r="S69" s="60">
        <f>Eingabe!$C$25+Eingabe!$E$25*'Berechnung EB heute'!F69</f>
        <v>39</v>
      </c>
      <c r="T69" s="4">
        <f t="shared" si="28"/>
        <v>-39</v>
      </c>
    </row>
    <row r="70" spans="1:20">
      <c r="A70" s="190">
        <v>60</v>
      </c>
      <c r="B70" s="3">
        <f t="shared" si="17"/>
        <v>0.01</v>
      </c>
      <c r="C70" s="40">
        <v>0</v>
      </c>
      <c r="D70" s="40">
        <f t="shared" si="18"/>
        <v>0</v>
      </c>
      <c r="E70" s="47">
        <f t="shared" si="19"/>
        <v>0</v>
      </c>
      <c r="F70" s="47">
        <f t="shared" si="20"/>
        <v>0</v>
      </c>
      <c r="G70" s="190">
        <f>IF(VLOOKUP(A70,Wechsel!$A$11:$E$31,1)=A70,VLOOKUP(A70,Wechsel!$A$11:$E$31,1),0)</f>
        <v>0</v>
      </c>
      <c r="H70" s="35">
        <f>IF(G70&gt;0,VLOOKUP(A70,Wechsel!$A$11:$E$31,3),H69)</f>
        <v>0</v>
      </c>
      <c r="I70" s="35">
        <f>IF(G70&gt;0,VLOOKUP(A70,Wechsel!$A$11:$E$31,4),I69)</f>
        <v>0</v>
      </c>
      <c r="J70" s="35">
        <f>IF(G70&gt;0,VLOOKUP(A70,Wechsel!$A$11:$E$31,5),J69)</f>
        <v>1</v>
      </c>
      <c r="K70" s="52">
        <f t="shared" si="21"/>
        <v>0</v>
      </c>
      <c r="L70" s="53">
        <f t="shared" si="22"/>
        <v>0</v>
      </c>
      <c r="M70" s="54">
        <f t="shared" si="23"/>
        <v>0</v>
      </c>
      <c r="N70" s="59">
        <f t="shared" si="24"/>
        <v>1</v>
      </c>
      <c r="O70" s="53">
        <f t="shared" si="25"/>
        <v>0</v>
      </c>
      <c r="P70" s="52">
        <f>MAX(P69-Eingabe!$E$28,0)</f>
        <v>0</v>
      </c>
      <c r="Q70" s="60">
        <f t="shared" si="26"/>
        <v>0</v>
      </c>
      <c r="R70" s="60">
        <f t="shared" si="27"/>
        <v>0</v>
      </c>
      <c r="S70" s="60">
        <f>Eingabe!$C$25+Eingabe!$E$25*'Berechnung EB heute'!F70</f>
        <v>39</v>
      </c>
      <c r="T70" s="4">
        <f t="shared" si="28"/>
        <v>-39</v>
      </c>
    </row>
  </sheetData>
  <mergeCells count="3">
    <mergeCell ref="F1:I1"/>
    <mergeCell ref="J1:J2"/>
    <mergeCell ref="J4:Q4"/>
  </mergeCells>
  <conditionalFormatting sqref="H1 H81:H1048576 G11:G80">
    <cfRule type="cellIs" dxfId="2" priority="1" operator="greaterThan">
      <formula>0</formula>
    </cfRule>
  </conditionalFormatting>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9"/>
  <dimension ref="A1:U70"/>
  <sheetViews>
    <sheetView showGridLines="0" topLeftCell="K1" zoomScale="85" zoomScaleNormal="85" workbookViewId="0">
      <pane ySplit="9" topLeftCell="A59" activePane="bottomLeft" state="frozen"/>
      <selection pane="bottomLeft" activeCell="K6" sqref="K6"/>
    </sheetView>
  </sheetViews>
  <sheetFormatPr baseColWidth="10" defaultColWidth="11.42578125" defaultRowHeight="15"/>
  <cols>
    <col min="1" max="1" width="11.5703125" style="27" bestFit="1" customWidth="1"/>
    <col min="2" max="2" width="17" style="144" bestFit="1" customWidth="1"/>
    <col min="3" max="3" width="13.140625" style="27" bestFit="1" customWidth="1"/>
    <col min="4" max="4" width="22.5703125" style="27" bestFit="1" customWidth="1"/>
    <col min="5" max="5" width="8" style="27" bestFit="1" customWidth="1"/>
    <col min="6" max="6" width="17" style="27" bestFit="1" customWidth="1"/>
    <col min="7" max="7" width="10.85546875" style="27" bestFit="1" customWidth="1"/>
    <col min="8" max="8" width="17.85546875" style="27" bestFit="1" customWidth="1"/>
    <col min="9" max="9" width="17.5703125" style="27" bestFit="1" customWidth="1"/>
    <col min="10" max="10" width="27.85546875" style="27" bestFit="1" customWidth="1"/>
    <col min="11" max="11" width="16.42578125" style="27" bestFit="1" customWidth="1"/>
    <col min="12" max="12" width="25.7109375" style="27" bestFit="1" customWidth="1"/>
    <col min="13" max="13" width="15.42578125" style="27" bestFit="1" customWidth="1"/>
    <col min="14" max="14" width="13.42578125" style="27" bestFit="1" customWidth="1"/>
    <col min="15" max="15" width="27.140625" style="27" bestFit="1" customWidth="1"/>
    <col min="16" max="16" width="20" style="27" bestFit="1" customWidth="1"/>
    <col min="17" max="17" width="13.7109375" style="60" customWidth="1"/>
    <col min="18" max="18" width="14.7109375" style="27" bestFit="1" customWidth="1"/>
    <col min="19" max="19" width="14.7109375" style="27" customWidth="1"/>
    <col min="20" max="20" width="15" style="27" bestFit="1" customWidth="1"/>
    <col min="21" max="21" width="18.7109375" style="27" bestFit="1" customWidth="1"/>
    <col min="22" max="16384" width="11.42578125" style="27"/>
  </cols>
  <sheetData>
    <row r="1" spans="1:21">
      <c r="A1" s="39" t="s">
        <v>0</v>
      </c>
      <c r="B1" s="5">
        <f>Hilfe!E3-Hilfe!G16</f>
        <v>0.06</v>
      </c>
      <c r="D1" s="3"/>
      <c r="F1" s="298" t="s">
        <v>10</v>
      </c>
      <c r="G1" s="299"/>
      <c r="H1" s="299"/>
      <c r="I1" s="300"/>
      <c r="J1" s="316"/>
      <c r="L1" s="27" t="s">
        <v>19</v>
      </c>
      <c r="M1" s="5">
        <f>MIN(2%,B1)</f>
        <v>0.02</v>
      </c>
      <c r="P1" s="5"/>
    </row>
    <row r="2" spans="1:21">
      <c r="A2" s="39" t="s">
        <v>62</v>
      </c>
      <c r="B2" s="1">
        <f>Eingabe!C10</f>
        <v>100000</v>
      </c>
      <c r="D2" s="1"/>
      <c r="F2" s="42"/>
      <c r="G2" s="29" t="s">
        <v>11</v>
      </c>
      <c r="H2" s="29" t="s">
        <v>12</v>
      </c>
      <c r="I2" s="43" t="s">
        <v>31</v>
      </c>
      <c r="J2" s="317"/>
      <c r="L2" s="27" t="s">
        <v>42</v>
      </c>
      <c r="M2" s="5">
        <f>'Berechnung Ratierlich heute'!M2</f>
        <v>0.26374999999999998</v>
      </c>
      <c r="P2" s="3"/>
    </row>
    <row r="3" spans="1:21" ht="15.75" thickBot="1">
      <c r="A3" s="39" t="s">
        <v>14</v>
      </c>
      <c r="B3" s="27">
        <f>Eingabe!C9</f>
        <v>12</v>
      </c>
      <c r="F3" s="55" t="s">
        <v>10</v>
      </c>
      <c r="G3" s="44">
        <f>Eingabe!C21</f>
        <v>0.01</v>
      </c>
      <c r="H3" s="44">
        <f>Eingabe!E21</f>
        <v>0.01</v>
      </c>
      <c r="I3" s="45">
        <f>Eingabe!G21</f>
        <v>0.01</v>
      </c>
      <c r="J3" s="64"/>
    </row>
    <row r="4" spans="1:21" ht="15.75" thickBot="1">
      <c r="F4" s="56" t="s">
        <v>32</v>
      </c>
      <c r="G4" s="46">
        <f>Eingabe!C22</f>
        <v>0.01</v>
      </c>
      <c r="H4" s="46">
        <f>Eingabe!E22</f>
        <v>0.01</v>
      </c>
      <c r="I4" s="46">
        <f>Eingabe!G22</f>
        <v>0.01</v>
      </c>
      <c r="J4" s="318" t="s">
        <v>48</v>
      </c>
      <c r="K4" s="319"/>
      <c r="L4" s="319"/>
      <c r="M4" s="319"/>
      <c r="N4" s="319"/>
      <c r="O4" s="319"/>
      <c r="P4" s="319"/>
      <c r="Q4" s="320"/>
    </row>
    <row r="5" spans="1:21" ht="15.75" thickBot="1">
      <c r="F5" s="57" t="s">
        <v>6</v>
      </c>
      <c r="G5" s="58">
        <v>0.3</v>
      </c>
      <c r="H5" s="58">
        <v>0.15</v>
      </c>
      <c r="I5" s="58">
        <v>0</v>
      </c>
      <c r="J5" s="66" t="s">
        <v>2</v>
      </c>
      <c r="K5" s="67" t="s">
        <v>47</v>
      </c>
      <c r="L5" s="67" t="s">
        <v>13</v>
      </c>
      <c r="M5" s="67" t="s">
        <v>118</v>
      </c>
      <c r="N5" s="67" t="s">
        <v>17</v>
      </c>
      <c r="O5" s="67" t="s">
        <v>43</v>
      </c>
      <c r="P5" s="67" t="s">
        <v>46</v>
      </c>
      <c r="Q5" s="71" t="s">
        <v>15</v>
      </c>
      <c r="R5" s="60"/>
    </row>
    <row r="6" spans="1:21" ht="15.75" thickBot="1">
      <c r="J6" s="68">
        <f>B3</f>
        <v>12</v>
      </c>
      <c r="K6" s="69">
        <f>MAX(VLOOKUP(J6,A11:AD70,20),0)</f>
        <v>154831.59171063942</v>
      </c>
      <c r="L6" s="69">
        <f>MAX(VLOOKUP(J6,A11:AD60,13),0)</f>
        <v>133471.08745705098</v>
      </c>
      <c r="M6" s="70">
        <f>VLOOKUP(J6,A11:AD60,14)</f>
        <v>1</v>
      </c>
      <c r="N6" s="69">
        <f>(K6-L6)*M6</f>
        <v>21360.504253588442</v>
      </c>
      <c r="O6" s="69">
        <f>VLOOKUP(J6,A11:AD60,12)</f>
        <v>1554.7847758932569</v>
      </c>
      <c r="P6" s="69">
        <f>VLOOKUP(J6,A11:AD60,16)</f>
        <v>0</v>
      </c>
      <c r="Q6" s="72">
        <f>K6-(N6-P6-O6)*M2</f>
        <v>149607.8331983973</v>
      </c>
      <c r="R6" s="60"/>
    </row>
    <row r="9" spans="1:21">
      <c r="A9" s="32" t="s">
        <v>2</v>
      </c>
      <c r="B9" s="32" t="s">
        <v>10</v>
      </c>
      <c r="C9" s="32" t="s">
        <v>3</v>
      </c>
      <c r="D9" s="32" t="s">
        <v>45</v>
      </c>
      <c r="E9" s="32" t="s">
        <v>0</v>
      </c>
      <c r="F9" s="32" t="s">
        <v>7</v>
      </c>
      <c r="G9" s="32" t="s">
        <v>8</v>
      </c>
      <c r="H9" s="32" t="s">
        <v>4</v>
      </c>
      <c r="I9" s="32" t="s">
        <v>5</v>
      </c>
      <c r="J9" s="32" t="s">
        <v>31</v>
      </c>
      <c r="K9" s="32" t="s">
        <v>20</v>
      </c>
      <c r="L9" s="32" t="s">
        <v>43</v>
      </c>
      <c r="M9" s="32" t="s">
        <v>13</v>
      </c>
      <c r="N9" s="32" t="s">
        <v>6</v>
      </c>
      <c r="O9" s="32" t="s">
        <v>44</v>
      </c>
      <c r="P9" s="32" t="s">
        <v>46</v>
      </c>
      <c r="Q9" s="61" t="s">
        <v>9</v>
      </c>
      <c r="R9" s="32" t="s">
        <v>18</v>
      </c>
      <c r="S9" s="32" t="s">
        <v>52</v>
      </c>
      <c r="T9" s="32" t="s">
        <v>47</v>
      </c>
      <c r="U9" s="2"/>
    </row>
    <row r="10" spans="1:21">
      <c r="A10" s="51">
        <v>0</v>
      </c>
      <c r="B10" s="51"/>
      <c r="C10" s="2"/>
      <c r="D10" s="2"/>
      <c r="E10" s="2"/>
      <c r="F10" s="2"/>
      <c r="G10" s="2"/>
      <c r="H10" s="3">
        <f>Eingabe!C18</f>
        <v>1</v>
      </c>
      <c r="I10" s="3">
        <f>Eingabe!E18</f>
        <v>0</v>
      </c>
      <c r="J10" s="3">
        <f>Eingabe!G18</f>
        <v>0</v>
      </c>
      <c r="K10" s="3"/>
      <c r="L10" s="3"/>
      <c r="M10" s="3"/>
      <c r="N10" s="3"/>
      <c r="O10" s="3"/>
      <c r="P10" s="2"/>
      <c r="Q10" s="62"/>
      <c r="R10" s="2"/>
      <c r="S10" s="2"/>
      <c r="T10" s="2"/>
      <c r="U10" s="2"/>
    </row>
    <row r="11" spans="1:21">
      <c r="A11" s="27">
        <v>1</v>
      </c>
      <c r="B11" s="3">
        <f>$G$3*H10+$H$3*I10+$I$3*J10</f>
        <v>0.01</v>
      </c>
      <c r="C11" s="40">
        <f>IF($B$3&gt;=A11,$B$2,0)/(1+B11)</f>
        <v>99009.900990099006</v>
      </c>
      <c r="D11" s="40">
        <f>C11</f>
        <v>99009.900990099006</v>
      </c>
      <c r="E11" s="47">
        <f>C11*$B$1</f>
        <v>5940.5940594059402</v>
      </c>
      <c r="F11" s="47">
        <f>C11+E11</f>
        <v>104950.49504950494</v>
      </c>
      <c r="G11" s="27">
        <f>VLOOKUP(A11,Wechsel!$A$11:$E$31,1)</f>
        <v>0</v>
      </c>
      <c r="H11" s="35">
        <f>IF(G11&gt;0,VLOOKUP(A11,Wechsel!$A$11:$E$31,3),H10)</f>
        <v>1</v>
      </c>
      <c r="I11" s="35">
        <f>IF(G11&gt;0,VLOOKUP(A11,Wechsel!$A$11:$E$31,4),I10)</f>
        <v>0</v>
      </c>
      <c r="J11" s="35">
        <f>IF(G11&gt;0,VLOOKUP(A11,Wechsel!$A$11:$E$31,5),J10)</f>
        <v>0</v>
      </c>
      <c r="K11" s="52">
        <f>D11*$M$1*0.7*0.7*$M$2*H11+D11*$M$1*0.85*0.7*$M$2*I11+D11*$M$1*0.7*$M$2*J11</f>
        <v>255.91584158415836</v>
      </c>
      <c r="L11" s="53">
        <f>K11+L10</f>
        <v>255.91584158415836</v>
      </c>
      <c r="M11" s="54">
        <f>C11</f>
        <v>99009.900990099006</v>
      </c>
      <c r="N11" s="59">
        <f>1-(H11*$G$5+I11*$H$5+J11*$I$5)</f>
        <v>0.7</v>
      </c>
      <c r="O11" s="53">
        <f>IF(G11&gt;0,(F11-M11)*N11,0)</f>
        <v>0</v>
      </c>
      <c r="P11" s="52">
        <f>MAX(Eingabe!C28,0)</f>
        <v>0</v>
      </c>
      <c r="Q11" s="60">
        <f>MAX(0,K11+O11*$M$2-P11-IF(G11&gt;0,-(L10+K11),0))</f>
        <v>255.91584158415836</v>
      </c>
      <c r="R11" s="60">
        <f>MAX(IF(G11&gt;0,(H11*$G$4+I11*$H$4+J11*$I$4)*F11,0),0)</f>
        <v>0</v>
      </c>
      <c r="S11" s="60">
        <f>Eingabe!$C$25+Eingabe!$E$25*'Berechnung EB 2%'!F11</f>
        <v>563.75247524752467</v>
      </c>
      <c r="T11" s="4">
        <f>F11-Q11-R11-S11</f>
        <v>104130.82673267326</v>
      </c>
    </row>
    <row r="12" spans="1:21">
      <c r="A12" s="27">
        <v>2</v>
      </c>
      <c r="B12" s="3">
        <f t="shared" ref="B12:B60" si="0">$G$3*H11+$H$3*I11+$I$3*J11</f>
        <v>0.01</v>
      </c>
      <c r="C12" s="40">
        <v>0</v>
      </c>
      <c r="D12" s="40">
        <f t="shared" ref="D12:D43" si="1">IF(A12&gt;$B$3,0,T11)</f>
        <v>104130.82673267326</v>
      </c>
      <c r="E12" s="47">
        <f t="shared" ref="E12:E43" si="2">(C12+D12)*$B$1</f>
        <v>6247.8496039603951</v>
      </c>
      <c r="F12" s="47">
        <f t="shared" ref="F12:F43" si="3">IF(A12&gt;$B$3,0,C12+E12+D12)</f>
        <v>110378.67633663365</v>
      </c>
      <c r="G12" s="27">
        <f>IF(VLOOKUP(A12,Wechsel!$A$11:$E$31,1)=A12,VLOOKUP(A12,Wechsel!$A$11:$E$31,1),0)</f>
        <v>0</v>
      </c>
      <c r="H12" s="35">
        <f>IF(G12&gt;0,VLOOKUP(A12,Wechsel!$A$11:$E$31,3),H11)</f>
        <v>1</v>
      </c>
      <c r="I12" s="35">
        <f>IF(G12&gt;0,VLOOKUP(A12,Wechsel!$A$11:$E$31,4),I11)</f>
        <v>0</v>
      </c>
      <c r="J12" s="35">
        <f>IF(G12&gt;0,VLOOKUP(A12,Wechsel!$A$11:$E$31,5),J11)</f>
        <v>0</v>
      </c>
      <c r="K12" s="52">
        <f>D12*$M$1*0.7*0.7*$M$2*H12+D12*$M$1*0.85*0.7*$M$2*I12+D12*$M$1*0.7*$M$2*J12</f>
        <v>269.15215439727717</v>
      </c>
      <c r="L12" s="53">
        <f>IF(G11&gt;0,K12,K12+L11)</f>
        <v>525.0679959814355</v>
      </c>
      <c r="M12" s="54">
        <f t="shared" ref="M12:M43" si="4">IF(A12&gt;$B$3,0,IF(G11&gt;0,T11,C12+M11))</f>
        <v>99009.900990099006</v>
      </c>
      <c r="N12" s="59">
        <f t="shared" ref="N12:N60" si="5">1-(H12*$G$5+I12*$H$5+J12*$I$5)</f>
        <v>0.7</v>
      </c>
      <c r="O12" s="53">
        <f>IF(G12&gt;0,(F12-M12)*N11,0)</f>
        <v>0</v>
      </c>
      <c r="P12" s="52">
        <f>MAX(P11-Eingabe!$E$28,0)</f>
        <v>0</v>
      </c>
      <c r="Q12" s="60">
        <f t="shared" ref="Q12:Q60" si="6">MAX(0,K12+O12*$M$2-P12-IF(G12&gt;0,-(L11+K12),0))</f>
        <v>269.15215439727717</v>
      </c>
      <c r="R12" s="60">
        <f t="shared" ref="R12:R18" si="7">MAX(IF(G12&gt;0,(H12*$G$4+I12*$H$4+J12*$I$4)*(F12-Q12),0),0)</f>
        <v>0</v>
      </c>
      <c r="S12" s="60">
        <f>Eingabe!$C$25+Eingabe!$E$25*'Berechnung EB 2%'!F12</f>
        <v>590.89338168316829</v>
      </c>
      <c r="T12" s="4">
        <f t="shared" ref="T12:T60" si="8">F12-Q12-R12-S12</f>
        <v>109518.6308005532</v>
      </c>
    </row>
    <row r="13" spans="1:21">
      <c r="A13" s="27">
        <v>3</v>
      </c>
      <c r="B13" s="3">
        <f t="shared" si="0"/>
        <v>0.01</v>
      </c>
      <c r="C13" s="40">
        <v>0</v>
      </c>
      <c r="D13" s="40">
        <f t="shared" si="1"/>
        <v>109518.6308005532</v>
      </c>
      <c r="E13" s="47">
        <f t="shared" si="2"/>
        <v>6571.1178480331919</v>
      </c>
      <c r="F13" s="47">
        <f t="shared" si="3"/>
        <v>116089.74864858639</v>
      </c>
      <c r="G13" s="27">
        <f>IF(VLOOKUP(A13,Wechsel!$A$11:$E$31,1)=A13,VLOOKUP(A13,Wechsel!$A$11:$E$31,1),0)</f>
        <v>3</v>
      </c>
      <c r="H13" s="35">
        <f>IF(G13&gt;0,VLOOKUP(A13,Wechsel!$A$11:$E$31,3),H12)</f>
        <v>0.66666666666666674</v>
      </c>
      <c r="I13" s="35">
        <f>IF(G13&gt;0,VLOOKUP(A13,Wechsel!$A$11:$E$31,4),I12)</f>
        <v>0</v>
      </c>
      <c r="J13" s="35">
        <f>IF(G13&gt;0,VLOOKUP(A13,Wechsel!$A$11:$E$31,5),J12)</f>
        <v>0.33333333333333326</v>
      </c>
      <c r="K13" s="52">
        <f t="shared" ref="K13:K60" si="9">D13*$M$1*0.7*0.7*$M$2*H13+D13*$M$1*0.85*0.7*$M$2*I13+D13*$M$1*0.7*$M$2*J13</f>
        <v>323.51803538483409</v>
      </c>
      <c r="L13" s="53">
        <f t="shared" ref="L13:L60" si="10">IF(G12&gt;0,K13,K13+L12)</f>
        <v>848.58603136626959</v>
      </c>
      <c r="M13" s="54">
        <f t="shared" si="4"/>
        <v>99009.900990099006</v>
      </c>
      <c r="N13" s="59">
        <f t="shared" si="5"/>
        <v>0.8</v>
      </c>
      <c r="O13" s="53">
        <f t="shared" ref="O13:O60" si="11">IF(G13&gt;0,(F13-M13)*N12,0)</f>
        <v>11955.893360941169</v>
      </c>
      <c r="P13" s="52">
        <f>MAX(P12-Eingabe!$E$28,0)</f>
        <v>0</v>
      </c>
      <c r="Q13" s="60">
        <f t="shared" si="6"/>
        <v>4325.470940699337</v>
      </c>
      <c r="R13" s="60">
        <f t="shared" si="7"/>
        <v>1117.6427770788705</v>
      </c>
      <c r="S13" s="60">
        <f>Eingabe!$C$25+Eingabe!$E$25*'Berechnung EB 2%'!F13</f>
        <v>619.44874324293198</v>
      </c>
      <c r="T13" s="4">
        <f t="shared" si="8"/>
        <v>110027.18618756525</v>
      </c>
    </row>
    <row r="14" spans="1:21">
      <c r="A14" s="27">
        <v>4</v>
      </c>
      <c r="B14" s="3">
        <f t="shared" si="0"/>
        <v>0.01</v>
      </c>
      <c r="C14" s="40">
        <v>0</v>
      </c>
      <c r="D14" s="40">
        <f t="shared" si="1"/>
        <v>110027.18618756525</v>
      </c>
      <c r="E14" s="47">
        <f t="shared" si="2"/>
        <v>6601.6311712539145</v>
      </c>
      <c r="F14" s="47">
        <f t="shared" si="3"/>
        <v>116628.81735881917</v>
      </c>
      <c r="G14" s="27">
        <f>IF(VLOOKUP(A14,Wechsel!$A$11:$E$31,1)=A14,VLOOKUP(A14,Wechsel!$A$11:$E$31,1),0)</f>
        <v>0</v>
      </c>
      <c r="H14" s="35">
        <f>IF(G14&gt;0,VLOOKUP(A14,Wechsel!$A$11:$E$31,3),H13)</f>
        <v>0.66666666666666674</v>
      </c>
      <c r="I14" s="35">
        <f>IF(G14&gt;0,VLOOKUP(A14,Wechsel!$A$11:$E$31,4),I13)</f>
        <v>0</v>
      </c>
      <c r="J14" s="35">
        <f>IF(G14&gt;0,VLOOKUP(A14,Wechsel!$A$11:$E$31,5),J13)</f>
        <v>0.33333333333333326</v>
      </c>
      <c r="K14" s="52">
        <f t="shared" si="9"/>
        <v>325.02030799806766</v>
      </c>
      <c r="L14" s="53">
        <f t="shared" si="10"/>
        <v>325.02030799806766</v>
      </c>
      <c r="M14" s="54">
        <f t="shared" si="4"/>
        <v>110027.18618756525</v>
      </c>
      <c r="N14" s="59">
        <f t="shared" si="5"/>
        <v>0.8</v>
      </c>
      <c r="O14" s="53">
        <f t="shared" si="11"/>
        <v>0</v>
      </c>
      <c r="P14" s="52">
        <f>MAX(P13-Eingabe!$E$28,0)</f>
        <v>0</v>
      </c>
      <c r="Q14" s="60">
        <f t="shared" si="6"/>
        <v>325.02030799806766</v>
      </c>
      <c r="R14" s="60">
        <f t="shared" si="7"/>
        <v>0</v>
      </c>
      <c r="S14" s="60">
        <f>Eingabe!$C$25+Eingabe!$E$25*'Berechnung EB 2%'!F14</f>
        <v>622.14408679409587</v>
      </c>
      <c r="T14" s="4">
        <f t="shared" si="8"/>
        <v>115681.652964027</v>
      </c>
    </row>
    <row r="15" spans="1:21">
      <c r="A15" s="27">
        <v>5</v>
      </c>
      <c r="B15" s="3">
        <f t="shared" si="0"/>
        <v>0.01</v>
      </c>
      <c r="C15" s="40">
        <v>0</v>
      </c>
      <c r="D15" s="40">
        <f t="shared" si="1"/>
        <v>115681.652964027</v>
      </c>
      <c r="E15" s="47">
        <f t="shared" si="2"/>
        <v>6940.8991778416203</v>
      </c>
      <c r="F15" s="47">
        <f t="shared" si="3"/>
        <v>122622.55214186863</v>
      </c>
      <c r="G15" s="27">
        <f>IF(VLOOKUP(A15,Wechsel!$A$11:$E$31,1)=A15,VLOOKUP(A15,Wechsel!$A$11:$E$31,1),0)</f>
        <v>0</v>
      </c>
      <c r="H15" s="35">
        <f>IF(G15&gt;0,VLOOKUP(A15,Wechsel!$A$11:$E$31,3),H14)</f>
        <v>0.66666666666666674</v>
      </c>
      <c r="I15" s="35">
        <f>IF(G15&gt;0,VLOOKUP(A15,Wechsel!$A$11:$E$31,4),I14)</f>
        <v>0</v>
      </c>
      <c r="J15" s="35">
        <f>IF(G15&gt;0,VLOOKUP(A15,Wechsel!$A$11:$E$31,5),J14)</f>
        <v>0.33333333333333326</v>
      </c>
      <c r="K15" s="52">
        <f t="shared" si="9"/>
        <v>341.72360285573575</v>
      </c>
      <c r="L15" s="53">
        <f t="shared" si="10"/>
        <v>666.74391085380341</v>
      </c>
      <c r="M15" s="54">
        <f t="shared" si="4"/>
        <v>110027.18618756525</v>
      </c>
      <c r="N15" s="59">
        <f t="shared" si="5"/>
        <v>0.8</v>
      </c>
      <c r="O15" s="53">
        <f t="shared" si="11"/>
        <v>0</v>
      </c>
      <c r="P15" s="52">
        <f>MAX(P14-Eingabe!$E$28,0)</f>
        <v>0</v>
      </c>
      <c r="Q15" s="60">
        <f t="shared" si="6"/>
        <v>341.72360285573575</v>
      </c>
      <c r="R15" s="60">
        <f t="shared" si="7"/>
        <v>0</v>
      </c>
      <c r="S15" s="60">
        <f>Eingabe!$C$25+Eingabe!$E$25*'Berechnung EB 2%'!F15</f>
        <v>652.11276070934309</v>
      </c>
      <c r="T15" s="4">
        <f t="shared" si="8"/>
        <v>121628.71577830355</v>
      </c>
    </row>
    <row r="16" spans="1:21">
      <c r="A16" s="27">
        <v>6</v>
      </c>
      <c r="B16" s="3">
        <f t="shared" si="0"/>
        <v>0.01</v>
      </c>
      <c r="C16" s="40">
        <v>0</v>
      </c>
      <c r="D16" s="40">
        <f t="shared" si="1"/>
        <v>121628.71577830355</v>
      </c>
      <c r="E16" s="47">
        <f t="shared" si="2"/>
        <v>7297.7229466982126</v>
      </c>
      <c r="F16" s="47">
        <f t="shared" si="3"/>
        <v>128926.43872500176</v>
      </c>
      <c r="G16" s="27">
        <f>IF(VLOOKUP(A16,Wechsel!$A$11:$E$31,1)=A16,VLOOKUP(A16,Wechsel!$A$11:$E$31,1),0)</f>
        <v>6</v>
      </c>
      <c r="H16" s="35">
        <f>IF(G16&gt;0,VLOOKUP(A16,Wechsel!$A$11:$E$31,3),H15)</f>
        <v>0.33333333333333343</v>
      </c>
      <c r="I16" s="35">
        <f>IF(G16&gt;0,VLOOKUP(A16,Wechsel!$A$11:$E$31,4),I15)</f>
        <v>0</v>
      </c>
      <c r="J16" s="35">
        <f>IF(G16&gt;0,VLOOKUP(A16,Wechsel!$A$11:$E$31,5),J15)</f>
        <v>0.66666666666666652</v>
      </c>
      <c r="K16" s="52">
        <f t="shared" si="9"/>
        <v>404.20262971024721</v>
      </c>
      <c r="L16" s="53">
        <f t="shared" si="10"/>
        <v>1070.9465405640506</v>
      </c>
      <c r="M16" s="54">
        <f t="shared" si="4"/>
        <v>110027.18618756525</v>
      </c>
      <c r="N16" s="59">
        <f t="shared" si="5"/>
        <v>0.9</v>
      </c>
      <c r="O16" s="53">
        <f t="shared" si="11"/>
        <v>15119.402029949206</v>
      </c>
      <c r="P16" s="52">
        <f>MAX(P15-Eingabe!$E$28,0)</f>
        <v>0</v>
      </c>
      <c r="Q16" s="60">
        <f t="shared" si="6"/>
        <v>5462.8914556734007</v>
      </c>
      <c r="R16" s="60">
        <f t="shared" si="7"/>
        <v>1234.6354726932836</v>
      </c>
      <c r="S16" s="60">
        <f>Eingabe!$C$25+Eingabe!$E$25*'Berechnung EB 2%'!F16</f>
        <v>683.63219362500877</v>
      </c>
      <c r="T16" s="4">
        <f t="shared" si="8"/>
        <v>121545.27960301009</v>
      </c>
    </row>
    <row r="17" spans="1:20">
      <c r="A17" s="27">
        <v>7</v>
      </c>
      <c r="B17" s="3">
        <f t="shared" si="0"/>
        <v>0.01</v>
      </c>
      <c r="C17" s="40">
        <v>0</v>
      </c>
      <c r="D17" s="40">
        <f t="shared" si="1"/>
        <v>121545.27960301009</v>
      </c>
      <c r="E17" s="47">
        <f t="shared" si="2"/>
        <v>7292.7167761806049</v>
      </c>
      <c r="F17" s="47">
        <f t="shared" si="3"/>
        <v>128837.99637919069</v>
      </c>
      <c r="G17" s="27">
        <f>IF(VLOOKUP(A17,Wechsel!$A$11:$E$31,1)=A17,VLOOKUP(A17,Wechsel!$A$11:$E$31,1),0)</f>
        <v>0</v>
      </c>
      <c r="H17" s="35">
        <f>IF(G17&gt;0,VLOOKUP(A17,Wechsel!$A$11:$E$31,3),H16)</f>
        <v>0.33333333333333343</v>
      </c>
      <c r="I17" s="35">
        <f>IF(G17&gt;0,VLOOKUP(A17,Wechsel!$A$11:$E$31,4),I16)</f>
        <v>0</v>
      </c>
      <c r="J17" s="35">
        <f>IF(G17&gt;0,VLOOKUP(A17,Wechsel!$A$11:$E$31,5),J16)</f>
        <v>0.66666666666666652</v>
      </c>
      <c r="K17" s="52">
        <f t="shared" si="9"/>
        <v>403.92535044070314</v>
      </c>
      <c r="L17" s="53">
        <f t="shared" si="10"/>
        <v>403.92535044070314</v>
      </c>
      <c r="M17" s="54">
        <f t="shared" si="4"/>
        <v>121545.27960301009</v>
      </c>
      <c r="N17" s="59">
        <f t="shared" si="5"/>
        <v>0.9</v>
      </c>
      <c r="O17" s="53">
        <f t="shared" si="11"/>
        <v>0</v>
      </c>
      <c r="P17" s="52">
        <f>MAX(P16-Eingabe!$E$28,0)</f>
        <v>0</v>
      </c>
      <c r="Q17" s="60">
        <f t="shared" si="6"/>
        <v>403.92535044070314</v>
      </c>
      <c r="R17" s="60">
        <f t="shared" si="7"/>
        <v>0</v>
      </c>
      <c r="S17" s="60">
        <f>Eingabe!$C$25+Eingabe!$E$25*'Berechnung EB 2%'!F17</f>
        <v>683.18998189595345</v>
      </c>
      <c r="T17" s="4">
        <f t="shared" si="8"/>
        <v>127750.88104685403</v>
      </c>
    </row>
    <row r="18" spans="1:20">
      <c r="A18" s="27">
        <v>8</v>
      </c>
      <c r="B18" s="3">
        <f t="shared" si="0"/>
        <v>0.01</v>
      </c>
      <c r="C18" s="40">
        <v>0</v>
      </c>
      <c r="D18" s="40">
        <f t="shared" si="1"/>
        <v>127750.88104685403</v>
      </c>
      <c r="E18" s="47">
        <f t="shared" si="2"/>
        <v>7665.0528628112415</v>
      </c>
      <c r="F18" s="47">
        <f t="shared" si="3"/>
        <v>135415.93390966527</v>
      </c>
      <c r="G18" s="27">
        <f>IF(VLOOKUP(A18,Wechsel!$A$11:$E$31,1)=A18,VLOOKUP(A18,Wechsel!$A$11:$E$31,1),0)</f>
        <v>0</v>
      </c>
      <c r="H18" s="35">
        <f>IF(G18&gt;0,VLOOKUP(A18,Wechsel!$A$11:$E$31,3),H17)</f>
        <v>0.33333333333333343</v>
      </c>
      <c r="I18" s="35">
        <f>IF(G18&gt;0,VLOOKUP(A18,Wechsel!$A$11:$E$31,4),I17)</f>
        <v>0</v>
      </c>
      <c r="J18" s="35">
        <f>IF(G18&gt;0,VLOOKUP(A18,Wechsel!$A$11:$E$31,5),J17)</f>
        <v>0.66666666666666652</v>
      </c>
      <c r="K18" s="52">
        <f t="shared" si="9"/>
        <v>424.54811543895761</v>
      </c>
      <c r="L18" s="53">
        <f t="shared" si="10"/>
        <v>828.47346587966081</v>
      </c>
      <c r="M18" s="54">
        <f t="shared" si="4"/>
        <v>121545.27960301009</v>
      </c>
      <c r="N18" s="59">
        <f t="shared" si="5"/>
        <v>0.9</v>
      </c>
      <c r="O18" s="53">
        <f t="shared" si="11"/>
        <v>0</v>
      </c>
      <c r="P18" s="52">
        <f>MAX(P17-Eingabe!$E$28,0)</f>
        <v>0</v>
      </c>
      <c r="Q18" s="60">
        <f t="shared" si="6"/>
        <v>424.54811543895761</v>
      </c>
      <c r="R18" s="60">
        <f t="shared" si="7"/>
        <v>0</v>
      </c>
      <c r="S18" s="60">
        <f>Eingabe!$C$25+Eingabe!$E$25*'Berechnung EB 2%'!F18</f>
        <v>716.07966954832636</v>
      </c>
      <c r="T18" s="4">
        <f t="shared" si="8"/>
        <v>134275.306124678</v>
      </c>
    </row>
    <row r="19" spans="1:20">
      <c r="A19" s="27">
        <v>9</v>
      </c>
      <c r="B19" s="3">
        <f t="shared" si="0"/>
        <v>0.01</v>
      </c>
      <c r="C19" s="40">
        <v>0</v>
      </c>
      <c r="D19" s="40">
        <f t="shared" si="1"/>
        <v>134275.306124678</v>
      </c>
      <c r="E19" s="47">
        <f t="shared" si="2"/>
        <v>8056.5183674806794</v>
      </c>
      <c r="F19" s="47">
        <f t="shared" si="3"/>
        <v>142331.82449215869</v>
      </c>
      <c r="G19" s="27">
        <f>IF(VLOOKUP(A19,Wechsel!$A$11:$E$31,1)=A19,VLOOKUP(A19,Wechsel!$A$11:$E$31,1),0)</f>
        <v>9</v>
      </c>
      <c r="H19" s="35">
        <f>IF(G19&gt;0,VLOOKUP(A19,Wechsel!$A$11:$E$31,3),H18)</f>
        <v>0</v>
      </c>
      <c r="I19" s="35">
        <f>IF(G19&gt;0,VLOOKUP(A19,Wechsel!$A$11:$E$31,4),I18)</f>
        <v>0</v>
      </c>
      <c r="J19" s="35">
        <f>IF(G19&gt;0,VLOOKUP(A19,Wechsel!$A$11:$E$31,5),J18)</f>
        <v>1</v>
      </c>
      <c r="K19" s="52">
        <f t="shared" si="9"/>
        <v>495.81156786537343</v>
      </c>
      <c r="L19" s="53">
        <f t="shared" si="10"/>
        <v>1324.2850337450343</v>
      </c>
      <c r="M19" s="54">
        <f t="shared" si="4"/>
        <v>121545.27960301009</v>
      </c>
      <c r="N19" s="59">
        <f t="shared" si="5"/>
        <v>1</v>
      </c>
      <c r="O19" s="53">
        <f t="shared" si="11"/>
        <v>18707.89040023374</v>
      </c>
      <c r="P19" s="52">
        <f>MAX(P18-Eingabe!$E$28,0)</f>
        <v>0</v>
      </c>
      <c r="Q19" s="60">
        <f t="shared" si="6"/>
        <v>6754.3026946720565</v>
      </c>
      <c r="R19" s="60">
        <f>MAX(IF(G19&gt;0,(H19*$G$4+I19*$H$4+J19*$I$4)*(F19-Q19),0),0)</f>
        <v>1355.7752179748663</v>
      </c>
      <c r="S19" s="60">
        <f>Eingabe!$C$25+Eingabe!$E$25*'Berechnung EB 2%'!F19</f>
        <v>750.65912246079347</v>
      </c>
      <c r="T19" s="4">
        <f t="shared" si="8"/>
        <v>133471.08745705098</v>
      </c>
    </row>
    <row r="20" spans="1:20">
      <c r="A20" s="27">
        <v>10</v>
      </c>
      <c r="B20" s="3">
        <f t="shared" si="0"/>
        <v>0.01</v>
      </c>
      <c r="C20" s="40">
        <v>0</v>
      </c>
      <c r="D20" s="40">
        <f t="shared" si="1"/>
        <v>133471.08745705098</v>
      </c>
      <c r="E20" s="47">
        <f t="shared" si="2"/>
        <v>8008.2652474230581</v>
      </c>
      <c r="F20" s="47">
        <f t="shared" si="3"/>
        <v>141479.35270447403</v>
      </c>
      <c r="G20" s="27">
        <f>IF(VLOOKUP(A20,Wechsel!$A$11:$E$31,1)=A20,VLOOKUP(A20,Wechsel!$A$11:$E$31,1),0)</f>
        <v>0</v>
      </c>
      <c r="H20" s="35">
        <f>IF(G20&gt;0,VLOOKUP(A20,Wechsel!$A$11:$E$31,3),H19)</f>
        <v>0</v>
      </c>
      <c r="I20" s="35">
        <f>IF(G20&gt;0,VLOOKUP(A20,Wechsel!$A$11:$E$31,4),I19)</f>
        <v>0</v>
      </c>
      <c r="J20" s="35">
        <f>IF(G20&gt;0,VLOOKUP(A20,Wechsel!$A$11:$E$31,5),J19)</f>
        <v>1</v>
      </c>
      <c r="K20" s="52">
        <f t="shared" si="9"/>
        <v>492.84199043516065</v>
      </c>
      <c r="L20" s="53">
        <f t="shared" si="10"/>
        <v>492.84199043516065</v>
      </c>
      <c r="M20" s="54">
        <f t="shared" si="4"/>
        <v>133471.08745705098</v>
      </c>
      <c r="N20" s="59">
        <f t="shared" si="5"/>
        <v>1</v>
      </c>
      <c r="O20" s="53">
        <f t="shared" si="11"/>
        <v>0</v>
      </c>
      <c r="P20" s="52">
        <f>MAX(P19-Eingabe!$E$28,0)</f>
        <v>0</v>
      </c>
      <c r="Q20" s="60">
        <f t="shared" si="6"/>
        <v>492.84199043516065</v>
      </c>
      <c r="R20" s="60">
        <f t="shared" ref="R20:R60" si="12">MAX(IF(G20&gt;0,(H20*$G$4+I20*$H$4+J20*$I$4)*(F20-Q20),0),0)</f>
        <v>0</v>
      </c>
      <c r="S20" s="60">
        <f>Eingabe!$C$25+Eingabe!$E$25*'Berechnung EB 2%'!F20</f>
        <v>746.39676352237018</v>
      </c>
      <c r="T20" s="4">
        <f t="shared" si="8"/>
        <v>140240.1139505165</v>
      </c>
    </row>
    <row r="21" spans="1:20">
      <c r="A21" s="27">
        <v>11</v>
      </c>
      <c r="B21" s="3">
        <f t="shared" si="0"/>
        <v>0.01</v>
      </c>
      <c r="C21" s="40">
        <v>0</v>
      </c>
      <c r="D21" s="40">
        <f t="shared" si="1"/>
        <v>140240.1139505165</v>
      </c>
      <c r="E21" s="47">
        <f t="shared" si="2"/>
        <v>8414.4068370309906</v>
      </c>
      <c r="F21" s="47">
        <f t="shared" si="3"/>
        <v>148654.52078754749</v>
      </c>
      <c r="G21" s="27">
        <f>IF(VLOOKUP(A21,Wechsel!$A$11:$E$31,1)=A21,VLOOKUP(A21,Wechsel!$A$11:$E$31,1),0)</f>
        <v>0</v>
      </c>
      <c r="H21" s="35">
        <f>IF(G21&gt;0,VLOOKUP(A21,Wechsel!$A$11:$E$31,3),H20)</f>
        <v>0</v>
      </c>
      <c r="I21" s="35">
        <f>IF(G21&gt;0,VLOOKUP(A21,Wechsel!$A$11:$E$31,4),I20)</f>
        <v>0</v>
      </c>
      <c r="J21" s="35">
        <f>IF(G21&gt;0,VLOOKUP(A21,Wechsel!$A$11:$E$31,5),J20)</f>
        <v>1</v>
      </c>
      <c r="K21" s="52">
        <f t="shared" si="9"/>
        <v>517.83662076228211</v>
      </c>
      <c r="L21" s="53">
        <f t="shared" si="10"/>
        <v>1010.6786111974427</v>
      </c>
      <c r="M21" s="54">
        <f t="shared" si="4"/>
        <v>133471.08745705098</v>
      </c>
      <c r="N21" s="59">
        <f t="shared" si="5"/>
        <v>1</v>
      </c>
      <c r="O21" s="53">
        <f t="shared" si="11"/>
        <v>0</v>
      </c>
      <c r="P21" s="52">
        <f>MAX(P20-Eingabe!$E$28,0)</f>
        <v>0</v>
      </c>
      <c r="Q21" s="60">
        <f t="shared" si="6"/>
        <v>517.83662076228211</v>
      </c>
      <c r="R21" s="60">
        <f t="shared" si="12"/>
        <v>0</v>
      </c>
      <c r="S21" s="60">
        <f>Eingabe!$C$25+Eingabe!$E$25*'Berechnung EB 2%'!F21</f>
        <v>782.27260393773747</v>
      </c>
      <c r="T21" s="4">
        <f t="shared" si="8"/>
        <v>147354.41156284747</v>
      </c>
    </row>
    <row r="22" spans="1:20">
      <c r="A22" s="27">
        <v>12</v>
      </c>
      <c r="B22" s="3">
        <f t="shared" si="0"/>
        <v>0.01</v>
      </c>
      <c r="C22" s="40">
        <v>0</v>
      </c>
      <c r="D22" s="40">
        <f t="shared" si="1"/>
        <v>147354.41156284747</v>
      </c>
      <c r="E22" s="47">
        <f t="shared" si="2"/>
        <v>8841.2646937708487</v>
      </c>
      <c r="F22" s="47">
        <f t="shared" si="3"/>
        <v>156195.67625661832</v>
      </c>
      <c r="G22" s="27">
        <f>IF(VLOOKUP(A22,Wechsel!$A$11:$E$31,1)=A22,VLOOKUP(A22,Wechsel!$A$11:$E$31,1),0)</f>
        <v>0</v>
      </c>
      <c r="H22" s="35">
        <f>IF(G22&gt;0,VLOOKUP(A22,Wechsel!$A$11:$E$31,3),H21)</f>
        <v>0</v>
      </c>
      <c r="I22" s="35">
        <f>IF(G22&gt;0,VLOOKUP(A22,Wechsel!$A$11:$E$31,4),I21)</f>
        <v>0</v>
      </c>
      <c r="J22" s="35">
        <f>IF(G22&gt;0,VLOOKUP(A22,Wechsel!$A$11:$E$31,5),J21)</f>
        <v>1</v>
      </c>
      <c r="K22" s="52">
        <f t="shared" si="9"/>
        <v>544.10616469581419</v>
      </c>
      <c r="L22" s="53">
        <f t="shared" si="10"/>
        <v>1554.7847758932569</v>
      </c>
      <c r="M22" s="54">
        <f t="shared" si="4"/>
        <v>133471.08745705098</v>
      </c>
      <c r="N22" s="59">
        <f t="shared" si="5"/>
        <v>1</v>
      </c>
      <c r="O22" s="53">
        <f t="shared" si="11"/>
        <v>0</v>
      </c>
      <c r="P22" s="52">
        <f>MAX(P21-Eingabe!$E$28,0)</f>
        <v>0</v>
      </c>
      <c r="Q22" s="60">
        <f t="shared" si="6"/>
        <v>544.10616469581419</v>
      </c>
      <c r="R22" s="60">
        <f t="shared" si="12"/>
        <v>0</v>
      </c>
      <c r="S22" s="60">
        <f>Eingabe!$C$25+Eingabe!$E$25*'Berechnung EB 2%'!F22</f>
        <v>819.97838128309161</v>
      </c>
      <c r="T22" s="4">
        <f t="shared" si="8"/>
        <v>154831.59171063942</v>
      </c>
    </row>
    <row r="23" spans="1:20">
      <c r="A23" s="27">
        <v>13</v>
      </c>
      <c r="B23" s="3">
        <f t="shared" si="0"/>
        <v>0.01</v>
      </c>
      <c r="C23" s="40">
        <v>0</v>
      </c>
      <c r="D23" s="40">
        <f t="shared" si="1"/>
        <v>0</v>
      </c>
      <c r="E23" s="47">
        <f t="shared" si="2"/>
        <v>0</v>
      </c>
      <c r="F23" s="47">
        <f t="shared" si="3"/>
        <v>0</v>
      </c>
      <c r="G23" s="27">
        <f>IF(VLOOKUP(A23,Wechsel!$A$11:$E$31,1)=A23,VLOOKUP(A23,Wechsel!$A$11:$E$31,1),0)</f>
        <v>0</v>
      </c>
      <c r="H23" s="35">
        <f>IF(G23&gt;0,VLOOKUP(A23,Wechsel!$A$11:$E$31,3),H22)</f>
        <v>0</v>
      </c>
      <c r="I23" s="35">
        <f>IF(G23&gt;0,VLOOKUP(A23,Wechsel!$A$11:$E$31,4),I22)</f>
        <v>0</v>
      </c>
      <c r="J23" s="35">
        <f>IF(G23&gt;0,VLOOKUP(A23,Wechsel!$A$11:$E$31,5),J22)</f>
        <v>1</v>
      </c>
      <c r="K23" s="52">
        <f t="shared" si="9"/>
        <v>0</v>
      </c>
      <c r="L23" s="53">
        <f t="shared" si="10"/>
        <v>1554.7847758932569</v>
      </c>
      <c r="M23" s="54">
        <f t="shared" si="4"/>
        <v>0</v>
      </c>
      <c r="N23" s="59">
        <f t="shared" si="5"/>
        <v>1</v>
      </c>
      <c r="O23" s="53">
        <f t="shared" si="11"/>
        <v>0</v>
      </c>
      <c r="P23" s="52">
        <f>MAX(P22-Eingabe!$E$28,0)</f>
        <v>0</v>
      </c>
      <c r="Q23" s="60">
        <f t="shared" si="6"/>
        <v>0</v>
      </c>
      <c r="R23" s="60">
        <f t="shared" si="12"/>
        <v>0</v>
      </c>
      <c r="S23" s="60">
        <f>Eingabe!$C$25+Eingabe!$E$25*'Berechnung EB 2%'!F23</f>
        <v>39</v>
      </c>
      <c r="T23" s="4">
        <f t="shared" si="8"/>
        <v>-39</v>
      </c>
    </row>
    <row r="24" spans="1:20">
      <c r="A24" s="27">
        <v>14</v>
      </c>
      <c r="B24" s="3">
        <f t="shared" si="0"/>
        <v>0.01</v>
      </c>
      <c r="C24" s="40">
        <v>0</v>
      </c>
      <c r="D24" s="40">
        <f t="shared" si="1"/>
        <v>0</v>
      </c>
      <c r="E24" s="47">
        <f t="shared" si="2"/>
        <v>0</v>
      </c>
      <c r="F24" s="47">
        <f t="shared" si="3"/>
        <v>0</v>
      </c>
      <c r="G24" s="27">
        <f>IF(VLOOKUP(A24,Wechsel!$A$11:$E$31,1)=A24,VLOOKUP(A24,Wechsel!$A$11:$E$31,1),0)</f>
        <v>0</v>
      </c>
      <c r="H24" s="35">
        <f>IF(G24&gt;0,VLOOKUP(A24,Wechsel!$A$11:$E$31,3),H23)</f>
        <v>0</v>
      </c>
      <c r="I24" s="35">
        <f>IF(G24&gt;0,VLOOKUP(A24,Wechsel!$A$11:$E$31,4),I23)</f>
        <v>0</v>
      </c>
      <c r="J24" s="35">
        <f>IF(G24&gt;0,VLOOKUP(A24,Wechsel!$A$11:$E$31,5),J23)</f>
        <v>1</v>
      </c>
      <c r="K24" s="52">
        <f t="shared" si="9"/>
        <v>0</v>
      </c>
      <c r="L24" s="53">
        <f t="shared" si="10"/>
        <v>1554.7847758932569</v>
      </c>
      <c r="M24" s="54">
        <f t="shared" si="4"/>
        <v>0</v>
      </c>
      <c r="N24" s="59">
        <f t="shared" si="5"/>
        <v>1</v>
      </c>
      <c r="O24" s="53">
        <f t="shared" si="11"/>
        <v>0</v>
      </c>
      <c r="P24" s="52">
        <f>MAX(P23-Eingabe!$E$28,0)</f>
        <v>0</v>
      </c>
      <c r="Q24" s="60">
        <f t="shared" si="6"/>
        <v>0</v>
      </c>
      <c r="R24" s="60">
        <f t="shared" si="12"/>
        <v>0</v>
      </c>
      <c r="S24" s="60">
        <f>Eingabe!$C$25+Eingabe!$E$25*'Berechnung EB 2%'!F24</f>
        <v>39</v>
      </c>
      <c r="T24" s="4">
        <f t="shared" si="8"/>
        <v>-39</v>
      </c>
    </row>
    <row r="25" spans="1:20">
      <c r="A25" s="27">
        <v>15</v>
      </c>
      <c r="B25" s="3">
        <f t="shared" si="0"/>
        <v>0.01</v>
      </c>
      <c r="C25" s="40">
        <v>0</v>
      </c>
      <c r="D25" s="40">
        <f t="shared" si="1"/>
        <v>0</v>
      </c>
      <c r="E25" s="47">
        <f t="shared" si="2"/>
        <v>0</v>
      </c>
      <c r="F25" s="47">
        <f t="shared" si="3"/>
        <v>0</v>
      </c>
      <c r="G25" s="27">
        <f>IF(VLOOKUP(A25,Wechsel!$A$11:$E$31,1)=A25,VLOOKUP(A25,Wechsel!$A$11:$E$31,1),0)</f>
        <v>0</v>
      </c>
      <c r="H25" s="35">
        <f>IF(G25&gt;0,VLOOKUP(A25,Wechsel!$A$11:$E$31,3),H24)</f>
        <v>0</v>
      </c>
      <c r="I25" s="35">
        <f>IF(G25&gt;0,VLOOKUP(A25,Wechsel!$A$11:$E$31,4),I24)</f>
        <v>0</v>
      </c>
      <c r="J25" s="35">
        <f>IF(G25&gt;0,VLOOKUP(A25,Wechsel!$A$11:$E$31,5),J24)</f>
        <v>1</v>
      </c>
      <c r="K25" s="52">
        <f t="shared" si="9"/>
        <v>0</v>
      </c>
      <c r="L25" s="53">
        <f t="shared" si="10"/>
        <v>1554.7847758932569</v>
      </c>
      <c r="M25" s="54">
        <f t="shared" si="4"/>
        <v>0</v>
      </c>
      <c r="N25" s="59">
        <f t="shared" si="5"/>
        <v>1</v>
      </c>
      <c r="O25" s="53">
        <f t="shared" si="11"/>
        <v>0</v>
      </c>
      <c r="P25" s="52">
        <f>MAX(P24-Eingabe!$E$28,0)</f>
        <v>0</v>
      </c>
      <c r="Q25" s="60">
        <f t="shared" si="6"/>
        <v>0</v>
      </c>
      <c r="R25" s="60">
        <f t="shared" si="12"/>
        <v>0</v>
      </c>
      <c r="S25" s="60">
        <f>Eingabe!$C$25+Eingabe!$E$25*'Berechnung EB 2%'!F25</f>
        <v>39</v>
      </c>
      <c r="T25" s="4">
        <f t="shared" si="8"/>
        <v>-39</v>
      </c>
    </row>
    <row r="26" spans="1:20">
      <c r="A26" s="27">
        <v>16</v>
      </c>
      <c r="B26" s="3">
        <f t="shared" si="0"/>
        <v>0.01</v>
      </c>
      <c r="C26" s="40">
        <v>0</v>
      </c>
      <c r="D26" s="40">
        <f t="shared" si="1"/>
        <v>0</v>
      </c>
      <c r="E26" s="47">
        <f t="shared" si="2"/>
        <v>0</v>
      </c>
      <c r="F26" s="47">
        <f t="shared" si="3"/>
        <v>0</v>
      </c>
      <c r="G26" s="27">
        <f>IF(VLOOKUP(A26,Wechsel!$A$11:$E$31,1)=A26,VLOOKUP(A26,Wechsel!$A$11:$E$31,1),0)</f>
        <v>0</v>
      </c>
      <c r="H26" s="35">
        <f>IF(G26&gt;0,VLOOKUP(A26,Wechsel!$A$11:$E$31,3),H25)</f>
        <v>0</v>
      </c>
      <c r="I26" s="35">
        <f>IF(G26&gt;0,VLOOKUP(A26,Wechsel!$A$11:$E$31,4),I25)</f>
        <v>0</v>
      </c>
      <c r="J26" s="35">
        <f>IF(G26&gt;0,VLOOKUP(A26,Wechsel!$A$11:$E$31,5),J25)</f>
        <v>1</v>
      </c>
      <c r="K26" s="52">
        <f t="shared" si="9"/>
        <v>0</v>
      </c>
      <c r="L26" s="53">
        <f t="shared" si="10"/>
        <v>1554.7847758932569</v>
      </c>
      <c r="M26" s="54">
        <f t="shared" si="4"/>
        <v>0</v>
      </c>
      <c r="N26" s="59">
        <f t="shared" si="5"/>
        <v>1</v>
      </c>
      <c r="O26" s="53">
        <f t="shared" si="11"/>
        <v>0</v>
      </c>
      <c r="P26" s="52">
        <f>MAX(P25-Eingabe!$E$28,0)</f>
        <v>0</v>
      </c>
      <c r="Q26" s="60">
        <f t="shared" si="6"/>
        <v>0</v>
      </c>
      <c r="R26" s="60">
        <f t="shared" si="12"/>
        <v>0</v>
      </c>
      <c r="S26" s="60">
        <f>Eingabe!$C$25+Eingabe!$E$25*'Berechnung EB 2%'!F26</f>
        <v>39</v>
      </c>
      <c r="T26" s="4">
        <f t="shared" si="8"/>
        <v>-39</v>
      </c>
    </row>
    <row r="27" spans="1:20">
      <c r="A27" s="27">
        <v>17</v>
      </c>
      <c r="B27" s="3">
        <f t="shared" si="0"/>
        <v>0.01</v>
      </c>
      <c r="C27" s="40">
        <v>0</v>
      </c>
      <c r="D27" s="40">
        <f t="shared" si="1"/>
        <v>0</v>
      </c>
      <c r="E27" s="47">
        <f t="shared" si="2"/>
        <v>0</v>
      </c>
      <c r="F27" s="47">
        <f t="shared" si="3"/>
        <v>0</v>
      </c>
      <c r="G27" s="27">
        <f>IF(VLOOKUP(A27,Wechsel!$A$11:$E$31,1)=A27,VLOOKUP(A27,Wechsel!$A$11:$E$31,1),0)</f>
        <v>0</v>
      </c>
      <c r="H27" s="35">
        <f>IF(G27&gt;0,VLOOKUP(A27,Wechsel!$A$11:$E$31,3),H26)</f>
        <v>0</v>
      </c>
      <c r="I27" s="35">
        <f>IF(G27&gt;0,VLOOKUP(A27,Wechsel!$A$11:$E$31,4),I26)</f>
        <v>0</v>
      </c>
      <c r="J27" s="35">
        <f>IF(G27&gt;0,VLOOKUP(A27,Wechsel!$A$11:$E$31,5),J26)</f>
        <v>1</v>
      </c>
      <c r="K27" s="52">
        <f t="shared" si="9"/>
        <v>0</v>
      </c>
      <c r="L27" s="53">
        <f t="shared" si="10"/>
        <v>1554.7847758932569</v>
      </c>
      <c r="M27" s="54">
        <f t="shared" si="4"/>
        <v>0</v>
      </c>
      <c r="N27" s="59">
        <f t="shared" si="5"/>
        <v>1</v>
      </c>
      <c r="O27" s="53">
        <f t="shared" si="11"/>
        <v>0</v>
      </c>
      <c r="P27" s="52">
        <f>MAX(P26-Eingabe!$E$28,0)</f>
        <v>0</v>
      </c>
      <c r="Q27" s="60">
        <f t="shared" si="6"/>
        <v>0</v>
      </c>
      <c r="R27" s="60">
        <f t="shared" si="12"/>
        <v>0</v>
      </c>
      <c r="S27" s="60">
        <f>Eingabe!$C$25+Eingabe!$E$25*'Berechnung EB 2%'!F27</f>
        <v>39</v>
      </c>
      <c r="T27" s="4">
        <f t="shared" si="8"/>
        <v>-39</v>
      </c>
    </row>
    <row r="28" spans="1:20">
      <c r="A28" s="27">
        <v>18</v>
      </c>
      <c r="B28" s="3">
        <f t="shared" si="0"/>
        <v>0.01</v>
      </c>
      <c r="C28" s="40">
        <v>0</v>
      </c>
      <c r="D28" s="40">
        <f t="shared" si="1"/>
        <v>0</v>
      </c>
      <c r="E28" s="47">
        <f t="shared" si="2"/>
        <v>0</v>
      </c>
      <c r="F28" s="47">
        <f t="shared" si="3"/>
        <v>0</v>
      </c>
      <c r="G28" s="27">
        <f>IF(VLOOKUP(A28,Wechsel!$A$11:$E$31,1)=A28,VLOOKUP(A28,Wechsel!$A$11:$E$31,1),0)</f>
        <v>0</v>
      </c>
      <c r="H28" s="35">
        <f>IF(G28&gt;0,VLOOKUP(A28,Wechsel!$A$11:$E$31,3),H27)</f>
        <v>0</v>
      </c>
      <c r="I28" s="35">
        <f>IF(G28&gt;0,VLOOKUP(A28,Wechsel!$A$11:$E$31,4),I27)</f>
        <v>0</v>
      </c>
      <c r="J28" s="35">
        <f>IF(G28&gt;0,VLOOKUP(A28,Wechsel!$A$11:$E$31,5),J27)</f>
        <v>1</v>
      </c>
      <c r="K28" s="52">
        <f t="shared" si="9"/>
        <v>0</v>
      </c>
      <c r="L28" s="53">
        <f t="shared" si="10"/>
        <v>1554.7847758932569</v>
      </c>
      <c r="M28" s="54">
        <f t="shared" si="4"/>
        <v>0</v>
      </c>
      <c r="N28" s="59">
        <f t="shared" si="5"/>
        <v>1</v>
      </c>
      <c r="O28" s="53">
        <f t="shared" si="11"/>
        <v>0</v>
      </c>
      <c r="P28" s="52">
        <f>MAX(P27-Eingabe!$E$28,0)</f>
        <v>0</v>
      </c>
      <c r="Q28" s="60">
        <f t="shared" si="6"/>
        <v>0</v>
      </c>
      <c r="R28" s="60">
        <f t="shared" si="12"/>
        <v>0</v>
      </c>
      <c r="S28" s="60">
        <f>Eingabe!$C$25+Eingabe!$E$25*'Berechnung EB 2%'!F28</f>
        <v>39</v>
      </c>
      <c r="T28" s="4">
        <f t="shared" si="8"/>
        <v>-39</v>
      </c>
    </row>
    <row r="29" spans="1:20">
      <c r="A29" s="27">
        <v>19</v>
      </c>
      <c r="B29" s="3">
        <f t="shared" si="0"/>
        <v>0.01</v>
      </c>
      <c r="C29" s="40">
        <v>0</v>
      </c>
      <c r="D29" s="40">
        <f t="shared" si="1"/>
        <v>0</v>
      </c>
      <c r="E29" s="47">
        <f t="shared" si="2"/>
        <v>0</v>
      </c>
      <c r="F29" s="47">
        <f t="shared" si="3"/>
        <v>0</v>
      </c>
      <c r="G29" s="27">
        <f>IF(VLOOKUP(A29,Wechsel!$A$11:$E$31,1)=A29,VLOOKUP(A29,Wechsel!$A$11:$E$31,1),0)</f>
        <v>0</v>
      </c>
      <c r="H29" s="35">
        <f>IF(G29&gt;0,VLOOKUP(A29,Wechsel!$A$11:$E$31,3),H28)</f>
        <v>0</v>
      </c>
      <c r="I29" s="35">
        <f>IF(G29&gt;0,VLOOKUP(A29,Wechsel!$A$11:$E$31,4),I28)</f>
        <v>0</v>
      </c>
      <c r="J29" s="35">
        <f>IF(G29&gt;0,VLOOKUP(A29,Wechsel!$A$11:$E$31,5),J28)</f>
        <v>1</v>
      </c>
      <c r="K29" s="52">
        <f t="shared" si="9"/>
        <v>0</v>
      </c>
      <c r="L29" s="53">
        <f t="shared" si="10"/>
        <v>1554.7847758932569</v>
      </c>
      <c r="M29" s="54">
        <f t="shared" si="4"/>
        <v>0</v>
      </c>
      <c r="N29" s="59">
        <f t="shared" si="5"/>
        <v>1</v>
      </c>
      <c r="O29" s="53">
        <f t="shared" si="11"/>
        <v>0</v>
      </c>
      <c r="P29" s="52">
        <f>MAX(P28-Eingabe!$E$28,0)</f>
        <v>0</v>
      </c>
      <c r="Q29" s="60">
        <f t="shared" si="6"/>
        <v>0</v>
      </c>
      <c r="R29" s="60">
        <f t="shared" si="12"/>
        <v>0</v>
      </c>
      <c r="S29" s="60">
        <f>Eingabe!$C$25+Eingabe!$E$25*'Berechnung EB 2%'!F29</f>
        <v>39</v>
      </c>
      <c r="T29" s="4">
        <f t="shared" si="8"/>
        <v>-39</v>
      </c>
    </row>
    <row r="30" spans="1:20">
      <c r="A30" s="27">
        <v>20</v>
      </c>
      <c r="B30" s="3">
        <f t="shared" si="0"/>
        <v>0.01</v>
      </c>
      <c r="C30" s="40">
        <v>0</v>
      </c>
      <c r="D30" s="40">
        <f t="shared" si="1"/>
        <v>0</v>
      </c>
      <c r="E30" s="47">
        <f t="shared" si="2"/>
        <v>0</v>
      </c>
      <c r="F30" s="47">
        <f t="shared" si="3"/>
        <v>0</v>
      </c>
      <c r="G30" s="27">
        <f>IF(VLOOKUP(A30,Wechsel!$A$11:$E$31,1)=A30,VLOOKUP(A30,Wechsel!$A$11:$E$31,1),0)</f>
        <v>0</v>
      </c>
      <c r="H30" s="35">
        <f>IF(G30&gt;0,VLOOKUP(A30,Wechsel!$A$11:$E$31,3),H29)</f>
        <v>0</v>
      </c>
      <c r="I30" s="35">
        <f>IF(G30&gt;0,VLOOKUP(A30,Wechsel!$A$11:$E$31,4),I29)</f>
        <v>0</v>
      </c>
      <c r="J30" s="35">
        <f>IF(G30&gt;0,VLOOKUP(A30,Wechsel!$A$11:$E$31,5),J29)</f>
        <v>1</v>
      </c>
      <c r="K30" s="52">
        <f t="shared" si="9"/>
        <v>0</v>
      </c>
      <c r="L30" s="53">
        <f t="shared" si="10"/>
        <v>1554.7847758932569</v>
      </c>
      <c r="M30" s="54">
        <f t="shared" si="4"/>
        <v>0</v>
      </c>
      <c r="N30" s="59">
        <f t="shared" si="5"/>
        <v>1</v>
      </c>
      <c r="O30" s="53">
        <f t="shared" si="11"/>
        <v>0</v>
      </c>
      <c r="P30" s="52">
        <f>MAX(P29-Eingabe!$E$28,0)</f>
        <v>0</v>
      </c>
      <c r="Q30" s="60">
        <f t="shared" si="6"/>
        <v>0</v>
      </c>
      <c r="R30" s="60">
        <f t="shared" si="12"/>
        <v>0</v>
      </c>
      <c r="S30" s="60">
        <f>Eingabe!$C$25+Eingabe!$E$25*'Berechnung EB 2%'!F30</f>
        <v>39</v>
      </c>
      <c r="T30" s="4">
        <f t="shared" si="8"/>
        <v>-39</v>
      </c>
    </row>
    <row r="31" spans="1:20">
      <c r="A31" s="27">
        <v>21</v>
      </c>
      <c r="B31" s="3">
        <f t="shared" si="0"/>
        <v>0.01</v>
      </c>
      <c r="C31" s="40">
        <v>0</v>
      </c>
      <c r="D31" s="40">
        <f t="shared" si="1"/>
        <v>0</v>
      </c>
      <c r="E31" s="47">
        <f t="shared" si="2"/>
        <v>0</v>
      </c>
      <c r="F31" s="47">
        <f t="shared" si="3"/>
        <v>0</v>
      </c>
      <c r="G31" s="27">
        <f>IF(VLOOKUP(A31,Wechsel!$A$11:$E$31,1)=A31,VLOOKUP(A31,Wechsel!$A$11:$E$31,1),0)</f>
        <v>0</v>
      </c>
      <c r="H31" s="35">
        <f>IF(G31&gt;0,VLOOKUP(A31,Wechsel!$A$11:$E$31,3),H30)</f>
        <v>0</v>
      </c>
      <c r="I31" s="35">
        <f>IF(G31&gt;0,VLOOKUP(A31,Wechsel!$A$11:$E$31,4),I30)</f>
        <v>0</v>
      </c>
      <c r="J31" s="35">
        <f>IF(G31&gt;0,VLOOKUP(A31,Wechsel!$A$11:$E$31,5),J30)</f>
        <v>1</v>
      </c>
      <c r="K31" s="52">
        <f t="shared" si="9"/>
        <v>0</v>
      </c>
      <c r="L31" s="53">
        <f t="shared" si="10"/>
        <v>1554.7847758932569</v>
      </c>
      <c r="M31" s="54">
        <f t="shared" si="4"/>
        <v>0</v>
      </c>
      <c r="N31" s="59">
        <f t="shared" si="5"/>
        <v>1</v>
      </c>
      <c r="O31" s="53">
        <f t="shared" si="11"/>
        <v>0</v>
      </c>
      <c r="P31" s="52">
        <f>MAX(P30-Eingabe!$E$28,0)</f>
        <v>0</v>
      </c>
      <c r="Q31" s="60">
        <f t="shared" si="6"/>
        <v>0</v>
      </c>
      <c r="R31" s="60">
        <f t="shared" si="12"/>
        <v>0</v>
      </c>
      <c r="S31" s="60">
        <f>Eingabe!$C$25+Eingabe!$E$25*'Berechnung EB 2%'!F31</f>
        <v>39</v>
      </c>
      <c r="T31" s="4">
        <f t="shared" si="8"/>
        <v>-39</v>
      </c>
    </row>
    <row r="32" spans="1:20">
      <c r="A32" s="27">
        <v>22</v>
      </c>
      <c r="B32" s="3">
        <f t="shared" si="0"/>
        <v>0.01</v>
      </c>
      <c r="C32" s="40">
        <v>0</v>
      </c>
      <c r="D32" s="40">
        <f t="shared" si="1"/>
        <v>0</v>
      </c>
      <c r="E32" s="47">
        <f t="shared" si="2"/>
        <v>0</v>
      </c>
      <c r="F32" s="47">
        <f t="shared" si="3"/>
        <v>0</v>
      </c>
      <c r="G32" s="27">
        <f>IF(VLOOKUP(A32,Wechsel!$A$11:$E$31,1)=A32,VLOOKUP(A32,Wechsel!$A$11:$E$31,1),0)</f>
        <v>0</v>
      </c>
      <c r="H32" s="35">
        <f>IF(G32&gt;0,VLOOKUP(A32,Wechsel!$A$11:$E$31,3),H31)</f>
        <v>0</v>
      </c>
      <c r="I32" s="35">
        <f>IF(G32&gt;0,VLOOKUP(A32,Wechsel!$A$11:$E$31,4),I31)</f>
        <v>0</v>
      </c>
      <c r="J32" s="35">
        <f>IF(G32&gt;0,VLOOKUP(A32,Wechsel!$A$11:$E$31,5),J31)</f>
        <v>1</v>
      </c>
      <c r="K32" s="52">
        <f t="shared" si="9"/>
        <v>0</v>
      </c>
      <c r="L32" s="53">
        <f t="shared" si="10"/>
        <v>1554.7847758932569</v>
      </c>
      <c r="M32" s="54">
        <f t="shared" si="4"/>
        <v>0</v>
      </c>
      <c r="N32" s="59">
        <f t="shared" si="5"/>
        <v>1</v>
      </c>
      <c r="O32" s="53">
        <f t="shared" si="11"/>
        <v>0</v>
      </c>
      <c r="P32" s="52">
        <f>MAX(P31-Eingabe!$E$28,0)</f>
        <v>0</v>
      </c>
      <c r="Q32" s="60">
        <f t="shared" si="6"/>
        <v>0</v>
      </c>
      <c r="R32" s="60">
        <f t="shared" si="12"/>
        <v>0</v>
      </c>
      <c r="S32" s="60">
        <f>Eingabe!$C$25+Eingabe!$E$25*'Berechnung EB 2%'!F32</f>
        <v>39</v>
      </c>
      <c r="T32" s="4">
        <f t="shared" si="8"/>
        <v>-39</v>
      </c>
    </row>
    <row r="33" spans="1:20">
      <c r="A33" s="27">
        <v>23</v>
      </c>
      <c r="B33" s="3">
        <f t="shared" si="0"/>
        <v>0.01</v>
      </c>
      <c r="C33" s="40">
        <v>0</v>
      </c>
      <c r="D33" s="40">
        <f t="shared" si="1"/>
        <v>0</v>
      </c>
      <c r="E33" s="47">
        <f t="shared" si="2"/>
        <v>0</v>
      </c>
      <c r="F33" s="47">
        <f t="shared" si="3"/>
        <v>0</v>
      </c>
      <c r="G33" s="27">
        <f>IF(VLOOKUP(A33,Wechsel!$A$11:$E$31,1)=A33,VLOOKUP(A33,Wechsel!$A$11:$E$31,1),0)</f>
        <v>0</v>
      </c>
      <c r="H33" s="35">
        <f>IF(G33&gt;0,VLOOKUP(A33,Wechsel!$A$11:$E$31,3),H32)</f>
        <v>0</v>
      </c>
      <c r="I33" s="35">
        <f>IF(G33&gt;0,VLOOKUP(A33,Wechsel!$A$11:$E$31,4),I32)</f>
        <v>0</v>
      </c>
      <c r="J33" s="35">
        <f>IF(G33&gt;0,VLOOKUP(A33,Wechsel!$A$11:$E$31,5),J32)</f>
        <v>1</v>
      </c>
      <c r="K33" s="52">
        <f t="shared" si="9"/>
        <v>0</v>
      </c>
      <c r="L33" s="53">
        <f t="shared" si="10"/>
        <v>1554.7847758932569</v>
      </c>
      <c r="M33" s="54">
        <f t="shared" si="4"/>
        <v>0</v>
      </c>
      <c r="N33" s="59">
        <f t="shared" si="5"/>
        <v>1</v>
      </c>
      <c r="O33" s="53">
        <f t="shared" si="11"/>
        <v>0</v>
      </c>
      <c r="P33" s="52">
        <f>MAX(P32-Eingabe!$E$28,0)</f>
        <v>0</v>
      </c>
      <c r="Q33" s="60">
        <f t="shared" si="6"/>
        <v>0</v>
      </c>
      <c r="R33" s="60">
        <f t="shared" si="12"/>
        <v>0</v>
      </c>
      <c r="S33" s="60">
        <f>Eingabe!$C$25+Eingabe!$E$25*'Berechnung EB 2%'!F33</f>
        <v>39</v>
      </c>
      <c r="T33" s="4">
        <f t="shared" si="8"/>
        <v>-39</v>
      </c>
    </row>
    <row r="34" spans="1:20">
      <c r="A34" s="27">
        <v>24</v>
      </c>
      <c r="B34" s="3">
        <f t="shared" si="0"/>
        <v>0.01</v>
      </c>
      <c r="C34" s="40">
        <v>0</v>
      </c>
      <c r="D34" s="40">
        <f t="shared" si="1"/>
        <v>0</v>
      </c>
      <c r="E34" s="47">
        <f t="shared" si="2"/>
        <v>0</v>
      </c>
      <c r="F34" s="47">
        <f t="shared" si="3"/>
        <v>0</v>
      </c>
      <c r="G34" s="27">
        <f>IF(VLOOKUP(A34,Wechsel!$A$11:$E$31,1)=A34,VLOOKUP(A34,Wechsel!$A$11:$E$31,1),0)</f>
        <v>0</v>
      </c>
      <c r="H34" s="35">
        <f>IF(G34&gt;0,VLOOKUP(A34,Wechsel!$A$11:$E$31,3),H33)</f>
        <v>0</v>
      </c>
      <c r="I34" s="35">
        <f>IF(G34&gt;0,VLOOKUP(A34,Wechsel!$A$11:$E$31,4),I33)</f>
        <v>0</v>
      </c>
      <c r="J34" s="35">
        <f>IF(G34&gt;0,VLOOKUP(A34,Wechsel!$A$11:$E$31,5),J33)</f>
        <v>1</v>
      </c>
      <c r="K34" s="52">
        <f t="shared" si="9"/>
        <v>0</v>
      </c>
      <c r="L34" s="53">
        <f t="shared" si="10"/>
        <v>1554.7847758932569</v>
      </c>
      <c r="M34" s="54">
        <f t="shared" si="4"/>
        <v>0</v>
      </c>
      <c r="N34" s="59">
        <f t="shared" si="5"/>
        <v>1</v>
      </c>
      <c r="O34" s="53">
        <f t="shared" si="11"/>
        <v>0</v>
      </c>
      <c r="P34" s="52">
        <f>MAX(P33-Eingabe!$E$28,0)</f>
        <v>0</v>
      </c>
      <c r="Q34" s="60">
        <f t="shared" si="6"/>
        <v>0</v>
      </c>
      <c r="R34" s="60">
        <f t="shared" si="12"/>
        <v>0</v>
      </c>
      <c r="S34" s="60">
        <f>Eingabe!$C$25+Eingabe!$E$25*'Berechnung EB 2%'!F34</f>
        <v>39</v>
      </c>
      <c r="T34" s="4">
        <f t="shared" si="8"/>
        <v>-39</v>
      </c>
    </row>
    <row r="35" spans="1:20">
      <c r="A35" s="27">
        <v>25</v>
      </c>
      <c r="B35" s="3">
        <f t="shared" si="0"/>
        <v>0.01</v>
      </c>
      <c r="C35" s="40">
        <v>0</v>
      </c>
      <c r="D35" s="40">
        <f t="shared" si="1"/>
        <v>0</v>
      </c>
      <c r="E35" s="47">
        <f t="shared" si="2"/>
        <v>0</v>
      </c>
      <c r="F35" s="47">
        <f t="shared" si="3"/>
        <v>0</v>
      </c>
      <c r="G35" s="27">
        <f>IF(VLOOKUP(A35,Wechsel!$A$11:$E$31,1)=A35,VLOOKUP(A35,Wechsel!$A$11:$E$31,1),0)</f>
        <v>0</v>
      </c>
      <c r="H35" s="35">
        <f>IF(G35&gt;0,VLOOKUP(A35,Wechsel!$A$11:$E$31,3),H34)</f>
        <v>0</v>
      </c>
      <c r="I35" s="35">
        <f>IF(G35&gt;0,VLOOKUP(A35,Wechsel!$A$11:$E$31,4),I34)</f>
        <v>0</v>
      </c>
      <c r="J35" s="35">
        <f>IF(G35&gt;0,VLOOKUP(A35,Wechsel!$A$11:$E$31,5),J34)</f>
        <v>1</v>
      </c>
      <c r="K35" s="52">
        <f t="shared" si="9"/>
        <v>0</v>
      </c>
      <c r="L35" s="53">
        <f t="shared" si="10"/>
        <v>1554.7847758932569</v>
      </c>
      <c r="M35" s="54">
        <f t="shared" si="4"/>
        <v>0</v>
      </c>
      <c r="N35" s="59">
        <f t="shared" si="5"/>
        <v>1</v>
      </c>
      <c r="O35" s="53">
        <f t="shared" si="11"/>
        <v>0</v>
      </c>
      <c r="P35" s="52">
        <f>MAX(P34-Eingabe!$E$28,0)</f>
        <v>0</v>
      </c>
      <c r="Q35" s="60">
        <f t="shared" si="6"/>
        <v>0</v>
      </c>
      <c r="R35" s="60">
        <f t="shared" si="12"/>
        <v>0</v>
      </c>
      <c r="S35" s="60">
        <f>Eingabe!$C$25+Eingabe!$E$25*'Berechnung EB 2%'!F35</f>
        <v>39</v>
      </c>
      <c r="T35" s="4">
        <f t="shared" si="8"/>
        <v>-39</v>
      </c>
    </row>
    <row r="36" spans="1:20">
      <c r="A36" s="27">
        <v>26</v>
      </c>
      <c r="B36" s="3">
        <f t="shared" si="0"/>
        <v>0.01</v>
      </c>
      <c r="C36" s="40">
        <v>0</v>
      </c>
      <c r="D36" s="40">
        <f t="shared" si="1"/>
        <v>0</v>
      </c>
      <c r="E36" s="47">
        <f t="shared" si="2"/>
        <v>0</v>
      </c>
      <c r="F36" s="47">
        <f t="shared" si="3"/>
        <v>0</v>
      </c>
      <c r="G36" s="27">
        <f>IF(VLOOKUP(A36,Wechsel!$A$11:$E$31,1)=A36,VLOOKUP(A36,Wechsel!$A$11:$E$31,1),0)</f>
        <v>0</v>
      </c>
      <c r="H36" s="35">
        <f>IF(G36&gt;0,VLOOKUP(A36,Wechsel!$A$11:$E$31,3),H35)</f>
        <v>0</v>
      </c>
      <c r="I36" s="35">
        <f>IF(G36&gt;0,VLOOKUP(A36,Wechsel!$A$11:$E$31,4),I35)</f>
        <v>0</v>
      </c>
      <c r="J36" s="35">
        <f>IF(G36&gt;0,VLOOKUP(A36,Wechsel!$A$11:$E$31,5),J35)</f>
        <v>1</v>
      </c>
      <c r="K36" s="52">
        <f t="shared" si="9"/>
        <v>0</v>
      </c>
      <c r="L36" s="53">
        <f t="shared" si="10"/>
        <v>1554.7847758932569</v>
      </c>
      <c r="M36" s="54">
        <f t="shared" si="4"/>
        <v>0</v>
      </c>
      <c r="N36" s="59">
        <f t="shared" si="5"/>
        <v>1</v>
      </c>
      <c r="O36" s="53">
        <f t="shared" si="11"/>
        <v>0</v>
      </c>
      <c r="P36" s="52">
        <f>MAX(P35-Eingabe!$E$28,0)</f>
        <v>0</v>
      </c>
      <c r="Q36" s="60">
        <f t="shared" si="6"/>
        <v>0</v>
      </c>
      <c r="R36" s="60">
        <f t="shared" si="12"/>
        <v>0</v>
      </c>
      <c r="S36" s="60">
        <f>Eingabe!$C$25+Eingabe!$E$25*'Berechnung EB 2%'!F36</f>
        <v>39</v>
      </c>
      <c r="T36" s="4">
        <f t="shared" si="8"/>
        <v>-39</v>
      </c>
    </row>
    <row r="37" spans="1:20">
      <c r="A37" s="27">
        <v>27</v>
      </c>
      <c r="B37" s="3">
        <f t="shared" si="0"/>
        <v>0.01</v>
      </c>
      <c r="C37" s="40">
        <v>0</v>
      </c>
      <c r="D37" s="40">
        <f t="shared" si="1"/>
        <v>0</v>
      </c>
      <c r="E37" s="47">
        <f t="shared" si="2"/>
        <v>0</v>
      </c>
      <c r="F37" s="47">
        <f t="shared" si="3"/>
        <v>0</v>
      </c>
      <c r="G37" s="27">
        <f>IF(VLOOKUP(A37,Wechsel!$A$11:$E$31,1)=A37,VLOOKUP(A37,Wechsel!$A$11:$E$31,1),0)</f>
        <v>0</v>
      </c>
      <c r="H37" s="35">
        <f>IF(G37&gt;0,VLOOKUP(A37,Wechsel!$A$11:$E$31,3),H36)</f>
        <v>0</v>
      </c>
      <c r="I37" s="35">
        <f>IF(G37&gt;0,VLOOKUP(A37,Wechsel!$A$11:$E$31,4),I36)</f>
        <v>0</v>
      </c>
      <c r="J37" s="35">
        <f>IF(G37&gt;0,VLOOKUP(A37,Wechsel!$A$11:$E$31,5),J36)</f>
        <v>1</v>
      </c>
      <c r="K37" s="52">
        <f t="shared" si="9"/>
        <v>0</v>
      </c>
      <c r="L37" s="53">
        <f t="shared" si="10"/>
        <v>1554.7847758932569</v>
      </c>
      <c r="M37" s="54">
        <f t="shared" si="4"/>
        <v>0</v>
      </c>
      <c r="N37" s="59">
        <f t="shared" si="5"/>
        <v>1</v>
      </c>
      <c r="O37" s="53">
        <f t="shared" si="11"/>
        <v>0</v>
      </c>
      <c r="P37" s="52">
        <f>MAX(P36-Eingabe!$E$28,0)</f>
        <v>0</v>
      </c>
      <c r="Q37" s="60">
        <f t="shared" si="6"/>
        <v>0</v>
      </c>
      <c r="R37" s="60">
        <f t="shared" si="12"/>
        <v>0</v>
      </c>
      <c r="S37" s="60">
        <f>Eingabe!$C$25+Eingabe!$E$25*'Berechnung EB 2%'!F37</f>
        <v>39</v>
      </c>
      <c r="T37" s="4">
        <f t="shared" si="8"/>
        <v>-39</v>
      </c>
    </row>
    <row r="38" spans="1:20">
      <c r="A38" s="27">
        <v>28</v>
      </c>
      <c r="B38" s="3">
        <f t="shared" si="0"/>
        <v>0.01</v>
      </c>
      <c r="C38" s="40">
        <v>0</v>
      </c>
      <c r="D38" s="40">
        <f t="shared" si="1"/>
        <v>0</v>
      </c>
      <c r="E38" s="47">
        <f t="shared" si="2"/>
        <v>0</v>
      </c>
      <c r="F38" s="47">
        <f t="shared" si="3"/>
        <v>0</v>
      </c>
      <c r="G38" s="27">
        <f>IF(VLOOKUP(A38,Wechsel!$A$11:$E$31,1)=A38,VLOOKUP(A38,Wechsel!$A$11:$E$31,1),0)</f>
        <v>0</v>
      </c>
      <c r="H38" s="35">
        <f>IF(G38&gt;0,VLOOKUP(A38,Wechsel!$A$11:$E$31,3),H37)</f>
        <v>0</v>
      </c>
      <c r="I38" s="35">
        <f>IF(G38&gt;0,VLOOKUP(A38,Wechsel!$A$11:$E$31,4),I37)</f>
        <v>0</v>
      </c>
      <c r="J38" s="35">
        <f>IF(G38&gt;0,VLOOKUP(A38,Wechsel!$A$11:$E$31,5),J37)</f>
        <v>1</v>
      </c>
      <c r="K38" s="52">
        <f t="shared" si="9"/>
        <v>0</v>
      </c>
      <c r="L38" s="53">
        <f t="shared" si="10"/>
        <v>1554.7847758932569</v>
      </c>
      <c r="M38" s="54">
        <f t="shared" si="4"/>
        <v>0</v>
      </c>
      <c r="N38" s="59">
        <f t="shared" si="5"/>
        <v>1</v>
      </c>
      <c r="O38" s="53">
        <f t="shared" si="11"/>
        <v>0</v>
      </c>
      <c r="P38" s="52">
        <f>MAX(P37-Eingabe!$E$28,0)</f>
        <v>0</v>
      </c>
      <c r="Q38" s="60">
        <f t="shared" si="6"/>
        <v>0</v>
      </c>
      <c r="R38" s="60">
        <f t="shared" si="12"/>
        <v>0</v>
      </c>
      <c r="S38" s="60">
        <f>Eingabe!$C$25+Eingabe!$E$25*'Berechnung EB 2%'!F38</f>
        <v>39</v>
      </c>
      <c r="T38" s="4">
        <f t="shared" si="8"/>
        <v>-39</v>
      </c>
    </row>
    <row r="39" spans="1:20">
      <c r="A39" s="27">
        <v>29</v>
      </c>
      <c r="B39" s="3">
        <f t="shared" si="0"/>
        <v>0.01</v>
      </c>
      <c r="C39" s="40">
        <v>0</v>
      </c>
      <c r="D39" s="40">
        <f t="shared" si="1"/>
        <v>0</v>
      </c>
      <c r="E39" s="47">
        <f t="shared" si="2"/>
        <v>0</v>
      </c>
      <c r="F39" s="47">
        <f t="shared" si="3"/>
        <v>0</v>
      </c>
      <c r="G39" s="27">
        <f>IF(VLOOKUP(A39,Wechsel!$A$11:$E$31,1)=A39,VLOOKUP(A39,Wechsel!$A$11:$E$31,1),0)</f>
        <v>0</v>
      </c>
      <c r="H39" s="35">
        <f>IF(G39&gt;0,VLOOKUP(A39,Wechsel!$A$11:$E$31,3),H38)</f>
        <v>0</v>
      </c>
      <c r="I39" s="35">
        <f>IF(G39&gt;0,VLOOKUP(A39,Wechsel!$A$11:$E$31,4),I38)</f>
        <v>0</v>
      </c>
      <c r="J39" s="35">
        <f>IF(G39&gt;0,VLOOKUP(A39,Wechsel!$A$11:$E$31,5),J38)</f>
        <v>1</v>
      </c>
      <c r="K39" s="52">
        <f t="shared" si="9"/>
        <v>0</v>
      </c>
      <c r="L39" s="53">
        <f t="shared" si="10"/>
        <v>1554.7847758932569</v>
      </c>
      <c r="M39" s="54">
        <f t="shared" si="4"/>
        <v>0</v>
      </c>
      <c r="N39" s="59">
        <f>1-(H39*$G$5+I39*$H$5+J39*$I$5)</f>
        <v>1</v>
      </c>
      <c r="O39" s="53">
        <f t="shared" si="11"/>
        <v>0</v>
      </c>
      <c r="P39" s="52">
        <f>MAX(P38-Eingabe!$E$28,0)</f>
        <v>0</v>
      </c>
      <c r="Q39" s="60">
        <f t="shared" si="6"/>
        <v>0</v>
      </c>
      <c r="R39" s="60">
        <f t="shared" si="12"/>
        <v>0</v>
      </c>
      <c r="S39" s="60">
        <f>Eingabe!$C$25+Eingabe!$E$25*'Berechnung EB 2%'!F39</f>
        <v>39</v>
      </c>
      <c r="T39" s="4">
        <f t="shared" si="8"/>
        <v>-39</v>
      </c>
    </row>
    <row r="40" spans="1:20">
      <c r="A40" s="27">
        <v>30</v>
      </c>
      <c r="B40" s="3">
        <f t="shared" si="0"/>
        <v>0.01</v>
      </c>
      <c r="C40" s="40">
        <v>0</v>
      </c>
      <c r="D40" s="40">
        <f t="shared" si="1"/>
        <v>0</v>
      </c>
      <c r="E40" s="47">
        <f t="shared" si="2"/>
        <v>0</v>
      </c>
      <c r="F40" s="47">
        <f t="shared" si="3"/>
        <v>0</v>
      </c>
      <c r="G40" s="27">
        <f>IF(VLOOKUP(A40,Wechsel!$A$11:$E$31,1)=A40,VLOOKUP(A40,Wechsel!$A$11:$E$31,1),0)</f>
        <v>0</v>
      </c>
      <c r="H40" s="35">
        <f>IF(G40&gt;0,VLOOKUP(A40,Wechsel!$A$11:$E$31,3),H39)</f>
        <v>0</v>
      </c>
      <c r="I40" s="35">
        <f>IF(G40&gt;0,VLOOKUP(A40,Wechsel!$A$11:$E$31,4),I39)</f>
        <v>0</v>
      </c>
      <c r="J40" s="35">
        <f>IF(G40&gt;0,VLOOKUP(A40,Wechsel!$A$11:$E$31,5),J39)</f>
        <v>1</v>
      </c>
      <c r="K40" s="52">
        <f t="shared" si="9"/>
        <v>0</v>
      </c>
      <c r="L40" s="53">
        <f t="shared" si="10"/>
        <v>1554.7847758932569</v>
      </c>
      <c r="M40" s="54">
        <f t="shared" si="4"/>
        <v>0</v>
      </c>
      <c r="N40" s="59">
        <f t="shared" si="5"/>
        <v>1</v>
      </c>
      <c r="O40" s="53">
        <f t="shared" si="11"/>
        <v>0</v>
      </c>
      <c r="P40" s="52">
        <f>MAX(P39-Eingabe!$E$28,0)</f>
        <v>0</v>
      </c>
      <c r="Q40" s="60">
        <f t="shared" si="6"/>
        <v>0</v>
      </c>
      <c r="R40" s="60">
        <f t="shared" si="12"/>
        <v>0</v>
      </c>
      <c r="S40" s="60">
        <f>Eingabe!$C$25+Eingabe!$E$25*'Berechnung EB 2%'!F40</f>
        <v>39</v>
      </c>
      <c r="T40" s="4">
        <f t="shared" si="8"/>
        <v>-39</v>
      </c>
    </row>
    <row r="41" spans="1:20">
      <c r="A41" s="27">
        <v>31</v>
      </c>
      <c r="B41" s="3">
        <f t="shared" si="0"/>
        <v>0.01</v>
      </c>
      <c r="C41" s="40">
        <v>0</v>
      </c>
      <c r="D41" s="40">
        <f t="shared" si="1"/>
        <v>0</v>
      </c>
      <c r="E41" s="47">
        <f t="shared" si="2"/>
        <v>0</v>
      </c>
      <c r="F41" s="47">
        <f t="shared" si="3"/>
        <v>0</v>
      </c>
      <c r="G41" s="27">
        <f>IF(VLOOKUP(A41,Wechsel!$A$11:$E$31,1)=A41,VLOOKUP(A41,Wechsel!$A$11:$E$31,1),0)</f>
        <v>0</v>
      </c>
      <c r="H41" s="35">
        <f>IF(G41&gt;0,VLOOKUP(A41,Wechsel!$A$11:$E$31,3),H40)</f>
        <v>0</v>
      </c>
      <c r="I41" s="35">
        <f>IF(G41&gt;0,VLOOKUP(A41,Wechsel!$A$11:$E$31,4),I40)</f>
        <v>0</v>
      </c>
      <c r="J41" s="35">
        <f>IF(G41&gt;0,VLOOKUP(A41,Wechsel!$A$11:$E$31,5),J40)</f>
        <v>1</v>
      </c>
      <c r="K41" s="52">
        <f t="shared" si="9"/>
        <v>0</v>
      </c>
      <c r="L41" s="53">
        <f t="shared" si="10"/>
        <v>1554.7847758932569</v>
      </c>
      <c r="M41" s="54">
        <f t="shared" si="4"/>
        <v>0</v>
      </c>
      <c r="N41" s="59">
        <f t="shared" si="5"/>
        <v>1</v>
      </c>
      <c r="O41" s="53">
        <f t="shared" si="11"/>
        <v>0</v>
      </c>
      <c r="P41" s="52">
        <f>MAX(P40-Eingabe!$E$28,0)</f>
        <v>0</v>
      </c>
      <c r="Q41" s="60">
        <f t="shared" si="6"/>
        <v>0</v>
      </c>
      <c r="R41" s="60">
        <f t="shared" si="12"/>
        <v>0</v>
      </c>
      <c r="S41" s="60">
        <f>Eingabe!$C$25+Eingabe!$E$25*'Berechnung EB 2%'!F41</f>
        <v>39</v>
      </c>
      <c r="T41" s="4">
        <f t="shared" si="8"/>
        <v>-39</v>
      </c>
    </row>
    <row r="42" spans="1:20">
      <c r="A42" s="27">
        <v>32</v>
      </c>
      <c r="B42" s="3">
        <f t="shared" si="0"/>
        <v>0.01</v>
      </c>
      <c r="C42" s="40">
        <v>0</v>
      </c>
      <c r="D42" s="40">
        <f t="shared" si="1"/>
        <v>0</v>
      </c>
      <c r="E42" s="47">
        <f t="shared" si="2"/>
        <v>0</v>
      </c>
      <c r="F42" s="47">
        <f t="shared" si="3"/>
        <v>0</v>
      </c>
      <c r="G42" s="27">
        <f>IF(VLOOKUP(A42,Wechsel!$A$11:$E$31,1)=A42,VLOOKUP(A42,Wechsel!$A$11:$E$31,1),0)</f>
        <v>0</v>
      </c>
      <c r="H42" s="35">
        <f>IF(G42&gt;0,VLOOKUP(A42,Wechsel!$A$11:$E$31,3),H41)</f>
        <v>0</v>
      </c>
      <c r="I42" s="35">
        <f>IF(G42&gt;0,VLOOKUP(A42,Wechsel!$A$11:$E$31,4),I41)</f>
        <v>0</v>
      </c>
      <c r="J42" s="35">
        <f>IF(G42&gt;0,VLOOKUP(A42,Wechsel!$A$11:$E$31,5),J41)</f>
        <v>1</v>
      </c>
      <c r="K42" s="52">
        <f t="shared" si="9"/>
        <v>0</v>
      </c>
      <c r="L42" s="53">
        <f t="shared" si="10"/>
        <v>1554.7847758932569</v>
      </c>
      <c r="M42" s="54">
        <f t="shared" si="4"/>
        <v>0</v>
      </c>
      <c r="N42" s="59">
        <f t="shared" si="5"/>
        <v>1</v>
      </c>
      <c r="O42" s="53">
        <f t="shared" si="11"/>
        <v>0</v>
      </c>
      <c r="P42" s="52">
        <f>MAX(P41-Eingabe!$E$28,0)</f>
        <v>0</v>
      </c>
      <c r="Q42" s="60">
        <f t="shared" si="6"/>
        <v>0</v>
      </c>
      <c r="R42" s="60">
        <f t="shared" si="12"/>
        <v>0</v>
      </c>
      <c r="S42" s="60">
        <f>Eingabe!$C$25+Eingabe!$E$25*'Berechnung EB 2%'!F42</f>
        <v>39</v>
      </c>
      <c r="T42" s="4">
        <f t="shared" si="8"/>
        <v>-39</v>
      </c>
    </row>
    <row r="43" spans="1:20">
      <c r="A43" s="27">
        <v>33</v>
      </c>
      <c r="B43" s="3">
        <f t="shared" si="0"/>
        <v>0.01</v>
      </c>
      <c r="C43" s="40">
        <v>0</v>
      </c>
      <c r="D43" s="40">
        <f t="shared" si="1"/>
        <v>0</v>
      </c>
      <c r="E43" s="47">
        <f t="shared" si="2"/>
        <v>0</v>
      </c>
      <c r="F43" s="47">
        <f t="shared" si="3"/>
        <v>0</v>
      </c>
      <c r="G43" s="27">
        <f>IF(VLOOKUP(A43,Wechsel!$A$11:$E$31,1)=A43,VLOOKUP(A43,Wechsel!$A$11:$E$31,1),0)</f>
        <v>0</v>
      </c>
      <c r="H43" s="35">
        <f>IF(G43&gt;0,VLOOKUP(A43,Wechsel!$A$11:$E$31,3),H42)</f>
        <v>0</v>
      </c>
      <c r="I43" s="35">
        <f>IF(G43&gt;0,VLOOKUP(A43,Wechsel!$A$11:$E$31,4),I42)</f>
        <v>0</v>
      </c>
      <c r="J43" s="35">
        <f>IF(G43&gt;0,VLOOKUP(A43,Wechsel!$A$11:$E$31,5),J42)</f>
        <v>1</v>
      </c>
      <c r="K43" s="52">
        <f t="shared" si="9"/>
        <v>0</v>
      </c>
      <c r="L43" s="53">
        <f t="shared" si="10"/>
        <v>1554.7847758932569</v>
      </c>
      <c r="M43" s="54">
        <f t="shared" si="4"/>
        <v>0</v>
      </c>
      <c r="N43" s="59">
        <f t="shared" si="5"/>
        <v>1</v>
      </c>
      <c r="O43" s="53">
        <f t="shared" si="11"/>
        <v>0</v>
      </c>
      <c r="P43" s="52">
        <f>MAX(P42-Eingabe!$E$28,0)</f>
        <v>0</v>
      </c>
      <c r="Q43" s="60">
        <f t="shared" si="6"/>
        <v>0</v>
      </c>
      <c r="R43" s="60">
        <f t="shared" si="12"/>
        <v>0</v>
      </c>
      <c r="S43" s="60">
        <f>Eingabe!$C$25+Eingabe!$E$25*'Berechnung EB 2%'!F43</f>
        <v>39</v>
      </c>
      <c r="T43" s="4">
        <f t="shared" si="8"/>
        <v>-39</v>
      </c>
    </row>
    <row r="44" spans="1:20">
      <c r="A44" s="27">
        <v>34</v>
      </c>
      <c r="B44" s="3">
        <f t="shared" si="0"/>
        <v>0.01</v>
      </c>
      <c r="C44" s="40">
        <v>0</v>
      </c>
      <c r="D44" s="40">
        <f t="shared" ref="D44:D60" si="13">IF(A44&gt;$B$3,0,T43)</f>
        <v>0</v>
      </c>
      <c r="E44" s="47">
        <f t="shared" ref="E44:E60" si="14">(C44+D44)*$B$1</f>
        <v>0</v>
      </c>
      <c r="F44" s="47">
        <f t="shared" ref="F44:F60" si="15">IF(A44&gt;$B$3,0,C44+E44+D44)</f>
        <v>0</v>
      </c>
      <c r="G44" s="27">
        <f>IF(VLOOKUP(A44,Wechsel!$A$11:$E$31,1)=A44,VLOOKUP(A44,Wechsel!$A$11:$E$31,1),0)</f>
        <v>0</v>
      </c>
      <c r="H44" s="35">
        <f>IF(G44&gt;0,VLOOKUP(A44,Wechsel!$A$11:$E$31,3),H43)</f>
        <v>0</v>
      </c>
      <c r="I44" s="35">
        <f>IF(G44&gt;0,VLOOKUP(A44,Wechsel!$A$11:$E$31,4),I43)</f>
        <v>0</v>
      </c>
      <c r="J44" s="35">
        <f>IF(G44&gt;0,VLOOKUP(A44,Wechsel!$A$11:$E$31,5),J43)</f>
        <v>1</v>
      </c>
      <c r="K44" s="52">
        <f t="shared" si="9"/>
        <v>0</v>
      </c>
      <c r="L44" s="53">
        <f t="shared" si="10"/>
        <v>1554.7847758932569</v>
      </c>
      <c r="M44" s="54">
        <f t="shared" ref="M44:M60" si="16">IF(A44&gt;$B$3,0,IF(G43&gt;0,T43,C44+M43))</f>
        <v>0</v>
      </c>
      <c r="N44" s="59">
        <f t="shared" si="5"/>
        <v>1</v>
      </c>
      <c r="O44" s="53">
        <f t="shared" si="11"/>
        <v>0</v>
      </c>
      <c r="P44" s="52">
        <f>MAX(P43-Eingabe!$E$28,0)</f>
        <v>0</v>
      </c>
      <c r="Q44" s="60">
        <f t="shared" si="6"/>
        <v>0</v>
      </c>
      <c r="R44" s="60">
        <f t="shared" si="12"/>
        <v>0</v>
      </c>
      <c r="S44" s="60">
        <f>Eingabe!$C$25+Eingabe!$E$25*'Berechnung EB 2%'!F44</f>
        <v>39</v>
      </c>
      <c r="T44" s="4">
        <f t="shared" si="8"/>
        <v>-39</v>
      </c>
    </row>
    <row r="45" spans="1:20">
      <c r="A45" s="27">
        <v>35</v>
      </c>
      <c r="B45" s="3">
        <f t="shared" si="0"/>
        <v>0.01</v>
      </c>
      <c r="C45" s="40">
        <v>0</v>
      </c>
      <c r="D45" s="40">
        <f t="shared" si="13"/>
        <v>0</v>
      </c>
      <c r="E45" s="47">
        <f t="shared" si="14"/>
        <v>0</v>
      </c>
      <c r="F45" s="47">
        <f t="shared" si="15"/>
        <v>0</v>
      </c>
      <c r="G45" s="27">
        <f>IF(VLOOKUP(A45,Wechsel!$A$11:$E$31,1)=A45,VLOOKUP(A45,Wechsel!$A$11:$E$31,1),0)</f>
        <v>0</v>
      </c>
      <c r="H45" s="35">
        <f>IF(G45&gt;0,VLOOKUP(A45,Wechsel!$A$11:$E$31,3),H44)</f>
        <v>0</v>
      </c>
      <c r="I45" s="35">
        <f>IF(G45&gt;0,VLOOKUP(A45,Wechsel!$A$11:$E$31,4),I44)</f>
        <v>0</v>
      </c>
      <c r="J45" s="35">
        <f>IF(G45&gt;0,VLOOKUP(A45,Wechsel!$A$11:$E$31,5),J44)</f>
        <v>1</v>
      </c>
      <c r="K45" s="52">
        <f t="shared" si="9"/>
        <v>0</v>
      </c>
      <c r="L45" s="53">
        <f t="shared" si="10"/>
        <v>1554.7847758932569</v>
      </c>
      <c r="M45" s="54">
        <f t="shared" si="16"/>
        <v>0</v>
      </c>
      <c r="N45" s="59">
        <f t="shared" si="5"/>
        <v>1</v>
      </c>
      <c r="O45" s="53">
        <f t="shared" si="11"/>
        <v>0</v>
      </c>
      <c r="P45" s="52">
        <f>MAX(P44-Eingabe!$E$28,0)</f>
        <v>0</v>
      </c>
      <c r="Q45" s="60">
        <f t="shared" si="6"/>
        <v>0</v>
      </c>
      <c r="R45" s="60">
        <f t="shared" si="12"/>
        <v>0</v>
      </c>
      <c r="S45" s="60">
        <f>Eingabe!$C$25+Eingabe!$E$25*'Berechnung EB 2%'!F45</f>
        <v>39</v>
      </c>
      <c r="T45" s="4">
        <f t="shared" si="8"/>
        <v>-39</v>
      </c>
    </row>
    <row r="46" spans="1:20">
      <c r="A46" s="27">
        <v>36</v>
      </c>
      <c r="B46" s="3">
        <f t="shared" si="0"/>
        <v>0.01</v>
      </c>
      <c r="C46" s="40">
        <v>0</v>
      </c>
      <c r="D46" s="40">
        <f t="shared" si="13"/>
        <v>0</v>
      </c>
      <c r="E46" s="47">
        <f t="shared" si="14"/>
        <v>0</v>
      </c>
      <c r="F46" s="47">
        <f t="shared" si="15"/>
        <v>0</v>
      </c>
      <c r="G46" s="27">
        <f>IF(VLOOKUP(A46,Wechsel!$A$11:$E$31,1)=A46,VLOOKUP(A46,Wechsel!$A$11:$E$31,1),0)</f>
        <v>0</v>
      </c>
      <c r="H46" s="35">
        <f>IF(G46&gt;0,VLOOKUP(A46,Wechsel!$A$11:$E$31,3),H45)</f>
        <v>0</v>
      </c>
      <c r="I46" s="35">
        <f>IF(G46&gt;0,VLOOKUP(A46,Wechsel!$A$11:$E$31,4),I45)</f>
        <v>0</v>
      </c>
      <c r="J46" s="35">
        <f>IF(G46&gt;0,VLOOKUP(A46,Wechsel!$A$11:$E$31,5),J45)</f>
        <v>1</v>
      </c>
      <c r="K46" s="52">
        <f t="shared" si="9"/>
        <v>0</v>
      </c>
      <c r="L46" s="53">
        <f t="shared" si="10"/>
        <v>1554.7847758932569</v>
      </c>
      <c r="M46" s="54">
        <f t="shared" si="16"/>
        <v>0</v>
      </c>
      <c r="N46" s="59">
        <f t="shared" si="5"/>
        <v>1</v>
      </c>
      <c r="O46" s="53">
        <f t="shared" si="11"/>
        <v>0</v>
      </c>
      <c r="P46" s="52">
        <f>MAX(P45-Eingabe!$E$28,0)</f>
        <v>0</v>
      </c>
      <c r="Q46" s="60">
        <f t="shared" si="6"/>
        <v>0</v>
      </c>
      <c r="R46" s="60">
        <f t="shared" si="12"/>
        <v>0</v>
      </c>
      <c r="S46" s="60">
        <f>Eingabe!$C$25+Eingabe!$E$25*'Berechnung EB 2%'!F46</f>
        <v>39</v>
      </c>
      <c r="T46" s="4">
        <f t="shared" si="8"/>
        <v>-39</v>
      </c>
    </row>
    <row r="47" spans="1:20">
      <c r="A47" s="27">
        <v>37</v>
      </c>
      <c r="B47" s="3">
        <f t="shared" si="0"/>
        <v>0.01</v>
      </c>
      <c r="C47" s="40">
        <v>0</v>
      </c>
      <c r="D47" s="40">
        <f t="shared" si="13"/>
        <v>0</v>
      </c>
      <c r="E47" s="47">
        <f t="shared" si="14"/>
        <v>0</v>
      </c>
      <c r="F47" s="47">
        <f t="shared" si="15"/>
        <v>0</v>
      </c>
      <c r="G47" s="27">
        <f>IF(VLOOKUP(A47,Wechsel!$A$11:$E$31,1)=A47,VLOOKUP(A47,Wechsel!$A$11:$E$31,1),0)</f>
        <v>0</v>
      </c>
      <c r="H47" s="35">
        <f>IF(G47&gt;0,VLOOKUP(A47,Wechsel!$A$11:$E$31,3),H46)</f>
        <v>0</v>
      </c>
      <c r="I47" s="35">
        <f>IF(G47&gt;0,VLOOKUP(A47,Wechsel!$A$11:$E$31,4),I46)</f>
        <v>0</v>
      </c>
      <c r="J47" s="35">
        <f>IF(G47&gt;0,VLOOKUP(A47,Wechsel!$A$11:$E$31,5),J46)</f>
        <v>1</v>
      </c>
      <c r="K47" s="52">
        <f t="shared" si="9"/>
        <v>0</v>
      </c>
      <c r="L47" s="53">
        <f t="shared" si="10"/>
        <v>1554.7847758932569</v>
      </c>
      <c r="M47" s="54">
        <f t="shared" si="16"/>
        <v>0</v>
      </c>
      <c r="N47" s="59">
        <f t="shared" si="5"/>
        <v>1</v>
      </c>
      <c r="O47" s="53">
        <f t="shared" si="11"/>
        <v>0</v>
      </c>
      <c r="P47" s="52">
        <f>MAX(P46-Eingabe!$E$28,0)</f>
        <v>0</v>
      </c>
      <c r="Q47" s="60">
        <f t="shared" si="6"/>
        <v>0</v>
      </c>
      <c r="R47" s="60">
        <f t="shared" si="12"/>
        <v>0</v>
      </c>
      <c r="S47" s="60">
        <f>Eingabe!$C$25+Eingabe!$E$25*'Berechnung EB 2%'!F47</f>
        <v>39</v>
      </c>
      <c r="T47" s="4">
        <f t="shared" si="8"/>
        <v>-39</v>
      </c>
    </row>
    <row r="48" spans="1:20">
      <c r="A48" s="27">
        <v>38</v>
      </c>
      <c r="B48" s="3">
        <f t="shared" si="0"/>
        <v>0.01</v>
      </c>
      <c r="C48" s="40">
        <v>0</v>
      </c>
      <c r="D48" s="40">
        <f t="shared" si="13"/>
        <v>0</v>
      </c>
      <c r="E48" s="47">
        <f t="shared" si="14"/>
        <v>0</v>
      </c>
      <c r="F48" s="47">
        <f t="shared" si="15"/>
        <v>0</v>
      </c>
      <c r="G48" s="27">
        <f>IF(VLOOKUP(A48,Wechsel!$A$11:$E$31,1)=A48,VLOOKUP(A48,Wechsel!$A$11:$E$31,1),0)</f>
        <v>0</v>
      </c>
      <c r="H48" s="35">
        <f>IF(G48&gt;0,VLOOKUP(A48,Wechsel!$A$11:$E$31,3),H47)</f>
        <v>0</v>
      </c>
      <c r="I48" s="35">
        <f>IF(G48&gt;0,VLOOKUP(A48,Wechsel!$A$11:$E$31,4),I47)</f>
        <v>0</v>
      </c>
      <c r="J48" s="35">
        <f>IF(G48&gt;0,VLOOKUP(A48,Wechsel!$A$11:$E$31,5),J47)</f>
        <v>1</v>
      </c>
      <c r="K48" s="52">
        <f t="shared" si="9"/>
        <v>0</v>
      </c>
      <c r="L48" s="53">
        <f t="shared" si="10"/>
        <v>1554.7847758932569</v>
      </c>
      <c r="M48" s="54">
        <f t="shared" si="16"/>
        <v>0</v>
      </c>
      <c r="N48" s="59">
        <f t="shared" si="5"/>
        <v>1</v>
      </c>
      <c r="O48" s="53">
        <f t="shared" si="11"/>
        <v>0</v>
      </c>
      <c r="P48" s="52">
        <f>MAX(P47-Eingabe!$E$28,0)</f>
        <v>0</v>
      </c>
      <c r="Q48" s="60">
        <f t="shared" si="6"/>
        <v>0</v>
      </c>
      <c r="R48" s="60">
        <f t="shared" si="12"/>
        <v>0</v>
      </c>
      <c r="S48" s="60">
        <f>Eingabe!$C$25+Eingabe!$E$25*'Berechnung EB 2%'!F48</f>
        <v>39</v>
      </c>
      <c r="T48" s="4">
        <f t="shared" si="8"/>
        <v>-39</v>
      </c>
    </row>
    <row r="49" spans="1:20">
      <c r="A49" s="27">
        <v>39</v>
      </c>
      <c r="B49" s="3">
        <f t="shared" si="0"/>
        <v>0.01</v>
      </c>
      <c r="C49" s="40">
        <v>0</v>
      </c>
      <c r="D49" s="40">
        <f t="shared" si="13"/>
        <v>0</v>
      </c>
      <c r="E49" s="47">
        <f t="shared" si="14"/>
        <v>0</v>
      </c>
      <c r="F49" s="47">
        <f t="shared" si="15"/>
        <v>0</v>
      </c>
      <c r="G49" s="27">
        <f>IF(VLOOKUP(A49,Wechsel!$A$11:$E$31,1)=A49,VLOOKUP(A49,Wechsel!$A$11:$E$31,1),0)</f>
        <v>0</v>
      </c>
      <c r="H49" s="35">
        <f>IF(G49&gt;0,VLOOKUP(A49,Wechsel!$A$11:$E$31,3),H48)</f>
        <v>0</v>
      </c>
      <c r="I49" s="35">
        <f>IF(G49&gt;0,VLOOKUP(A49,Wechsel!$A$11:$E$31,4),I48)</f>
        <v>0</v>
      </c>
      <c r="J49" s="35">
        <f>IF(G49&gt;0,VLOOKUP(A49,Wechsel!$A$11:$E$31,5),J48)</f>
        <v>1</v>
      </c>
      <c r="K49" s="52">
        <f t="shared" si="9"/>
        <v>0</v>
      </c>
      <c r="L49" s="53">
        <f t="shared" si="10"/>
        <v>1554.7847758932569</v>
      </c>
      <c r="M49" s="54">
        <f t="shared" si="16"/>
        <v>0</v>
      </c>
      <c r="N49" s="59">
        <f t="shared" si="5"/>
        <v>1</v>
      </c>
      <c r="O49" s="53">
        <f t="shared" si="11"/>
        <v>0</v>
      </c>
      <c r="P49" s="52">
        <f>MAX(P48-Eingabe!$E$28,0)</f>
        <v>0</v>
      </c>
      <c r="Q49" s="60">
        <f t="shared" si="6"/>
        <v>0</v>
      </c>
      <c r="R49" s="60">
        <f t="shared" si="12"/>
        <v>0</v>
      </c>
      <c r="S49" s="60">
        <f>Eingabe!$C$25+Eingabe!$E$25*'Berechnung EB 2%'!F49</f>
        <v>39</v>
      </c>
      <c r="T49" s="4">
        <f t="shared" si="8"/>
        <v>-39</v>
      </c>
    </row>
    <row r="50" spans="1:20">
      <c r="A50" s="27">
        <v>40</v>
      </c>
      <c r="B50" s="3">
        <f t="shared" si="0"/>
        <v>0.01</v>
      </c>
      <c r="C50" s="40">
        <v>0</v>
      </c>
      <c r="D50" s="40">
        <f t="shared" si="13"/>
        <v>0</v>
      </c>
      <c r="E50" s="47">
        <f t="shared" si="14"/>
        <v>0</v>
      </c>
      <c r="F50" s="47">
        <f t="shared" si="15"/>
        <v>0</v>
      </c>
      <c r="G50" s="27">
        <f>IF(VLOOKUP(A50,Wechsel!$A$11:$E$31,1)=A50,VLOOKUP(A50,Wechsel!$A$11:$E$31,1),0)</f>
        <v>0</v>
      </c>
      <c r="H50" s="35">
        <f>IF(G50&gt;0,VLOOKUP(A50,Wechsel!$A$11:$E$31,3),H49)</f>
        <v>0</v>
      </c>
      <c r="I50" s="35">
        <f>IF(G50&gt;0,VLOOKUP(A50,Wechsel!$A$11:$E$31,4),I49)</f>
        <v>0</v>
      </c>
      <c r="J50" s="35">
        <f>IF(G50&gt;0,VLOOKUP(A50,Wechsel!$A$11:$E$31,5),J49)</f>
        <v>1</v>
      </c>
      <c r="K50" s="52">
        <f t="shared" si="9"/>
        <v>0</v>
      </c>
      <c r="L50" s="53">
        <f t="shared" si="10"/>
        <v>1554.7847758932569</v>
      </c>
      <c r="M50" s="54">
        <f t="shared" si="16"/>
        <v>0</v>
      </c>
      <c r="N50" s="59">
        <f t="shared" si="5"/>
        <v>1</v>
      </c>
      <c r="O50" s="53">
        <f t="shared" si="11"/>
        <v>0</v>
      </c>
      <c r="P50" s="52">
        <f>MAX(P49-Eingabe!$E$28,0)</f>
        <v>0</v>
      </c>
      <c r="Q50" s="60">
        <f t="shared" si="6"/>
        <v>0</v>
      </c>
      <c r="R50" s="60">
        <f t="shared" si="12"/>
        <v>0</v>
      </c>
      <c r="S50" s="60">
        <f>Eingabe!$C$25+Eingabe!$E$25*'Berechnung EB 2%'!F50</f>
        <v>39</v>
      </c>
      <c r="T50" s="4">
        <f t="shared" si="8"/>
        <v>-39</v>
      </c>
    </row>
    <row r="51" spans="1:20">
      <c r="A51" s="27">
        <v>41</v>
      </c>
      <c r="B51" s="3">
        <f t="shared" si="0"/>
        <v>0.01</v>
      </c>
      <c r="C51" s="40">
        <v>0</v>
      </c>
      <c r="D51" s="40">
        <f t="shared" si="13"/>
        <v>0</v>
      </c>
      <c r="E51" s="47">
        <f t="shared" si="14"/>
        <v>0</v>
      </c>
      <c r="F51" s="47">
        <f t="shared" si="15"/>
        <v>0</v>
      </c>
      <c r="G51" s="27">
        <f>IF(VLOOKUP(A51,Wechsel!$A$11:$E$31,1)=A51,VLOOKUP(A51,Wechsel!$A$11:$E$31,1),0)</f>
        <v>0</v>
      </c>
      <c r="H51" s="35">
        <f>IF(G51&gt;0,VLOOKUP(A51,Wechsel!$A$11:$E$31,3),H50)</f>
        <v>0</v>
      </c>
      <c r="I51" s="35">
        <f>IF(G51&gt;0,VLOOKUP(A51,Wechsel!$A$11:$E$31,4),I50)</f>
        <v>0</v>
      </c>
      <c r="J51" s="35">
        <f>IF(G51&gt;0,VLOOKUP(A51,Wechsel!$A$11:$E$31,5),J50)</f>
        <v>1</v>
      </c>
      <c r="K51" s="52">
        <f t="shared" si="9"/>
        <v>0</v>
      </c>
      <c r="L51" s="53">
        <f t="shared" si="10"/>
        <v>1554.7847758932569</v>
      </c>
      <c r="M51" s="54">
        <f t="shared" si="16"/>
        <v>0</v>
      </c>
      <c r="N51" s="59">
        <f t="shared" si="5"/>
        <v>1</v>
      </c>
      <c r="O51" s="53">
        <f t="shared" si="11"/>
        <v>0</v>
      </c>
      <c r="P51" s="52">
        <f>MAX(P50-Eingabe!$E$28,0)</f>
        <v>0</v>
      </c>
      <c r="Q51" s="60">
        <f t="shared" si="6"/>
        <v>0</v>
      </c>
      <c r="R51" s="60">
        <f t="shared" si="12"/>
        <v>0</v>
      </c>
      <c r="S51" s="60">
        <f>Eingabe!$C$25+Eingabe!$E$25*'Berechnung EB 2%'!F51</f>
        <v>39</v>
      </c>
      <c r="T51" s="4">
        <f t="shared" si="8"/>
        <v>-39</v>
      </c>
    </row>
    <row r="52" spans="1:20">
      <c r="A52" s="27">
        <v>42</v>
      </c>
      <c r="B52" s="3">
        <f t="shared" si="0"/>
        <v>0.01</v>
      </c>
      <c r="C52" s="40">
        <v>0</v>
      </c>
      <c r="D52" s="40">
        <f t="shared" si="13"/>
        <v>0</v>
      </c>
      <c r="E52" s="47">
        <f t="shared" si="14"/>
        <v>0</v>
      </c>
      <c r="F52" s="47">
        <f t="shared" si="15"/>
        <v>0</v>
      </c>
      <c r="G52" s="27">
        <f>IF(VLOOKUP(A52,Wechsel!$A$11:$E$31,1)=A52,VLOOKUP(A52,Wechsel!$A$11:$E$31,1),0)</f>
        <v>0</v>
      </c>
      <c r="H52" s="35">
        <f>IF(G52&gt;0,VLOOKUP(A52,Wechsel!$A$11:$E$31,3),H51)</f>
        <v>0</v>
      </c>
      <c r="I52" s="35">
        <f>IF(G52&gt;0,VLOOKUP(A52,Wechsel!$A$11:$E$31,4),I51)</f>
        <v>0</v>
      </c>
      <c r="J52" s="35">
        <f>IF(G52&gt;0,VLOOKUP(A52,Wechsel!$A$11:$E$31,5),J51)</f>
        <v>1</v>
      </c>
      <c r="K52" s="52">
        <f t="shared" si="9"/>
        <v>0</v>
      </c>
      <c r="L52" s="53">
        <f t="shared" si="10"/>
        <v>1554.7847758932569</v>
      </c>
      <c r="M52" s="54">
        <f t="shared" si="16"/>
        <v>0</v>
      </c>
      <c r="N52" s="59">
        <f t="shared" si="5"/>
        <v>1</v>
      </c>
      <c r="O52" s="53">
        <f t="shared" si="11"/>
        <v>0</v>
      </c>
      <c r="P52" s="52">
        <f>MAX(P51-Eingabe!$E$28,0)</f>
        <v>0</v>
      </c>
      <c r="Q52" s="60">
        <f t="shared" si="6"/>
        <v>0</v>
      </c>
      <c r="R52" s="60">
        <f t="shared" si="12"/>
        <v>0</v>
      </c>
      <c r="S52" s="60">
        <f>Eingabe!$C$25+Eingabe!$E$25*'Berechnung EB 2%'!F52</f>
        <v>39</v>
      </c>
      <c r="T52" s="4">
        <f t="shared" si="8"/>
        <v>-39</v>
      </c>
    </row>
    <row r="53" spans="1:20">
      <c r="A53" s="27">
        <v>43</v>
      </c>
      <c r="B53" s="3">
        <f t="shared" si="0"/>
        <v>0.01</v>
      </c>
      <c r="C53" s="40">
        <v>0</v>
      </c>
      <c r="D53" s="40">
        <f t="shared" si="13"/>
        <v>0</v>
      </c>
      <c r="E53" s="47">
        <f t="shared" si="14"/>
        <v>0</v>
      </c>
      <c r="F53" s="47">
        <f t="shared" si="15"/>
        <v>0</v>
      </c>
      <c r="G53" s="27">
        <f>IF(VLOOKUP(A53,Wechsel!$A$11:$E$31,1)=A53,VLOOKUP(A53,Wechsel!$A$11:$E$31,1),0)</f>
        <v>0</v>
      </c>
      <c r="H53" s="35">
        <f>IF(G53&gt;0,VLOOKUP(A53,Wechsel!$A$11:$E$31,3),H52)</f>
        <v>0</v>
      </c>
      <c r="I53" s="35">
        <f>IF(G53&gt;0,VLOOKUP(A53,Wechsel!$A$11:$E$31,4),I52)</f>
        <v>0</v>
      </c>
      <c r="J53" s="35">
        <f>IF(G53&gt;0,VLOOKUP(A53,Wechsel!$A$11:$E$31,5),J52)</f>
        <v>1</v>
      </c>
      <c r="K53" s="52">
        <f t="shared" si="9"/>
        <v>0</v>
      </c>
      <c r="L53" s="53">
        <f t="shared" si="10"/>
        <v>1554.7847758932569</v>
      </c>
      <c r="M53" s="54">
        <f t="shared" si="16"/>
        <v>0</v>
      </c>
      <c r="N53" s="59">
        <f t="shared" si="5"/>
        <v>1</v>
      </c>
      <c r="O53" s="53">
        <f t="shared" si="11"/>
        <v>0</v>
      </c>
      <c r="P53" s="52">
        <f>MAX(P52-Eingabe!$E$28,0)</f>
        <v>0</v>
      </c>
      <c r="Q53" s="60">
        <f t="shared" si="6"/>
        <v>0</v>
      </c>
      <c r="R53" s="60">
        <f t="shared" si="12"/>
        <v>0</v>
      </c>
      <c r="S53" s="60">
        <f>Eingabe!$C$25+Eingabe!$E$25*'Berechnung EB 2%'!F53</f>
        <v>39</v>
      </c>
      <c r="T53" s="4">
        <f t="shared" si="8"/>
        <v>-39</v>
      </c>
    </row>
    <row r="54" spans="1:20">
      <c r="A54" s="27">
        <v>44</v>
      </c>
      <c r="B54" s="3">
        <f t="shared" si="0"/>
        <v>0.01</v>
      </c>
      <c r="C54" s="40">
        <v>0</v>
      </c>
      <c r="D54" s="40">
        <f t="shared" si="13"/>
        <v>0</v>
      </c>
      <c r="E54" s="47">
        <f t="shared" si="14"/>
        <v>0</v>
      </c>
      <c r="F54" s="47">
        <f t="shared" si="15"/>
        <v>0</v>
      </c>
      <c r="G54" s="27">
        <f>IF(VLOOKUP(A54,Wechsel!$A$11:$E$31,1)=A54,VLOOKUP(A54,Wechsel!$A$11:$E$31,1),0)</f>
        <v>0</v>
      </c>
      <c r="H54" s="35">
        <f>IF(G54&gt;0,VLOOKUP(A54,Wechsel!$A$11:$E$31,3),H53)</f>
        <v>0</v>
      </c>
      <c r="I54" s="35">
        <f>IF(G54&gt;0,VLOOKUP(A54,Wechsel!$A$11:$E$31,4),I53)</f>
        <v>0</v>
      </c>
      <c r="J54" s="35">
        <f>IF(G54&gt;0,VLOOKUP(A54,Wechsel!$A$11:$E$31,5),J53)</f>
        <v>1</v>
      </c>
      <c r="K54" s="52">
        <f t="shared" si="9"/>
        <v>0</v>
      </c>
      <c r="L54" s="53">
        <f t="shared" si="10"/>
        <v>1554.7847758932569</v>
      </c>
      <c r="M54" s="54">
        <f t="shared" si="16"/>
        <v>0</v>
      </c>
      <c r="N54" s="59">
        <f t="shared" si="5"/>
        <v>1</v>
      </c>
      <c r="O54" s="53">
        <f t="shared" si="11"/>
        <v>0</v>
      </c>
      <c r="P54" s="52">
        <f>MAX(P53-Eingabe!$E$28,0)</f>
        <v>0</v>
      </c>
      <c r="Q54" s="60">
        <f t="shared" si="6"/>
        <v>0</v>
      </c>
      <c r="R54" s="60">
        <f t="shared" si="12"/>
        <v>0</v>
      </c>
      <c r="S54" s="60">
        <f>Eingabe!$C$25+Eingabe!$E$25*'Berechnung EB 2%'!F54</f>
        <v>39</v>
      </c>
      <c r="T54" s="4">
        <f t="shared" si="8"/>
        <v>-39</v>
      </c>
    </row>
    <row r="55" spans="1:20">
      <c r="A55" s="27">
        <v>45</v>
      </c>
      <c r="B55" s="3">
        <f t="shared" si="0"/>
        <v>0.01</v>
      </c>
      <c r="C55" s="40">
        <v>0</v>
      </c>
      <c r="D55" s="40">
        <f t="shared" si="13"/>
        <v>0</v>
      </c>
      <c r="E55" s="47">
        <f t="shared" si="14"/>
        <v>0</v>
      </c>
      <c r="F55" s="47">
        <f t="shared" si="15"/>
        <v>0</v>
      </c>
      <c r="G55" s="27">
        <f>IF(VLOOKUP(A55,Wechsel!$A$11:$E$31,1)=A55,VLOOKUP(A55,Wechsel!$A$11:$E$31,1),0)</f>
        <v>0</v>
      </c>
      <c r="H55" s="35">
        <f>IF(G55&gt;0,VLOOKUP(A55,Wechsel!$A$11:$E$31,3),H54)</f>
        <v>0</v>
      </c>
      <c r="I55" s="35">
        <f>IF(G55&gt;0,VLOOKUP(A55,Wechsel!$A$11:$E$31,4),I54)</f>
        <v>0</v>
      </c>
      <c r="J55" s="35">
        <f>IF(G55&gt;0,VLOOKUP(A55,Wechsel!$A$11:$E$31,5),J54)</f>
        <v>1</v>
      </c>
      <c r="K55" s="52">
        <f t="shared" si="9"/>
        <v>0</v>
      </c>
      <c r="L55" s="53">
        <f t="shared" si="10"/>
        <v>1554.7847758932569</v>
      </c>
      <c r="M55" s="54">
        <f t="shared" si="16"/>
        <v>0</v>
      </c>
      <c r="N55" s="59">
        <f t="shared" si="5"/>
        <v>1</v>
      </c>
      <c r="O55" s="53">
        <f t="shared" si="11"/>
        <v>0</v>
      </c>
      <c r="P55" s="52">
        <f>MAX(P54-Eingabe!$E$28,0)</f>
        <v>0</v>
      </c>
      <c r="Q55" s="60">
        <f t="shared" si="6"/>
        <v>0</v>
      </c>
      <c r="R55" s="60">
        <f t="shared" si="12"/>
        <v>0</v>
      </c>
      <c r="S55" s="60">
        <f>Eingabe!$C$25+Eingabe!$E$25*'Berechnung EB 2%'!F55</f>
        <v>39</v>
      </c>
      <c r="T55" s="4">
        <f t="shared" si="8"/>
        <v>-39</v>
      </c>
    </row>
    <row r="56" spans="1:20">
      <c r="A56" s="27">
        <v>46</v>
      </c>
      <c r="B56" s="3">
        <f t="shared" si="0"/>
        <v>0.01</v>
      </c>
      <c r="C56" s="40">
        <v>0</v>
      </c>
      <c r="D56" s="40">
        <f t="shared" si="13"/>
        <v>0</v>
      </c>
      <c r="E56" s="47">
        <f t="shared" si="14"/>
        <v>0</v>
      </c>
      <c r="F56" s="47">
        <f t="shared" si="15"/>
        <v>0</v>
      </c>
      <c r="G56" s="27">
        <f>IF(VLOOKUP(A56,Wechsel!$A$11:$E$31,1)=A56,VLOOKUP(A56,Wechsel!$A$11:$E$31,1),0)</f>
        <v>0</v>
      </c>
      <c r="H56" s="35">
        <f>IF(G56&gt;0,VLOOKUP(A56,Wechsel!$A$11:$E$31,3),H55)</f>
        <v>0</v>
      </c>
      <c r="I56" s="35">
        <f>IF(G56&gt;0,VLOOKUP(A56,Wechsel!$A$11:$E$31,4),I55)</f>
        <v>0</v>
      </c>
      <c r="J56" s="35">
        <f>IF(G56&gt;0,VLOOKUP(A56,Wechsel!$A$11:$E$31,5),J55)</f>
        <v>1</v>
      </c>
      <c r="K56" s="52">
        <f t="shared" si="9"/>
        <v>0</v>
      </c>
      <c r="L56" s="53">
        <f t="shared" si="10"/>
        <v>1554.7847758932569</v>
      </c>
      <c r="M56" s="54">
        <f t="shared" si="16"/>
        <v>0</v>
      </c>
      <c r="N56" s="59">
        <f t="shared" si="5"/>
        <v>1</v>
      </c>
      <c r="O56" s="53">
        <f t="shared" si="11"/>
        <v>0</v>
      </c>
      <c r="P56" s="52">
        <f>MAX(P55-Eingabe!$E$28,0)</f>
        <v>0</v>
      </c>
      <c r="Q56" s="60">
        <f t="shared" si="6"/>
        <v>0</v>
      </c>
      <c r="R56" s="60">
        <f t="shared" si="12"/>
        <v>0</v>
      </c>
      <c r="S56" s="60">
        <f>Eingabe!$C$25+Eingabe!$E$25*'Berechnung EB 2%'!F56</f>
        <v>39</v>
      </c>
      <c r="T56" s="4">
        <f t="shared" si="8"/>
        <v>-39</v>
      </c>
    </row>
    <row r="57" spans="1:20">
      <c r="A57" s="27">
        <v>47</v>
      </c>
      <c r="B57" s="3">
        <f t="shared" si="0"/>
        <v>0.01</v>
      </c>
      <c r="C57" s="40">
        <v>0</v>
      </c>
      <c r="D57" s="40">
        <f t="shared" si="13"/>
        <v>0</v>
      </c>
      <c r="E57" s="47">
        <f t="shared" si="14"/>
        <v>0</v>
      </c>
      <c r="F57" s="47">
        <f t="shared" si="15"/>
        <v>0</v>
      </c>
      <c r="G57" s="27">
        <f>IF(VLOOKUP(A57,Wechsel!$A$11:$E$31,1)=A57,VLOOKUP(A57,Wechsel!$A$11:$E$31,1),0)</f>
        <v>0</v>
      </c>
      <c r="H57" s="35">
        <f>IF(G57&gt;0,VLOOKUP(A57,Wechsel!$A$11:$E$31,3),H56)</f>
        <v>0</v>
      </c>
      <c r="I57" s="35">
        <f>IF(G57&gt;0,VLOOKUP(A57,Wechsel!$A$11:$E$31,4),I56)</f>
        <v>0</v>
      </c>
      <c r="J57" s="35">
        <f>IF(G57&gt;0,VLOOKUP(A57,Wechsel!$A$11:$E$31,5),J56)</f>
        <v>1</v>
      </c>
      <c r="K57" s="52">
        <f t="shared" si="9"/>
        <v>0</v>
      </c>
      <c r="L57" s="53">
        <f t="shared" si="10"/>
        <v>1554.7847758932569</v>
      </c>
      <c r="M57" s="54">
        <f t="shared" si="16"/>
        <v>0</v>
      </c>
      <c r="N57" s="59">
        <f t="shared" si="5"/>
        <v>1</v>
      </c>
      <c r="O57" s="53">
        <f t="shared" si="11"/>
        <v>0</v>
      </c>
      <c r="P57" s="52">
        <f>MAX(P56-Eingabe!$E$28,0)</f>
        <v>0</v>
      </c>
      <c r="Q57" s="60">
        <f t="shared" si="6"/>
        <v>0</v>
      </c>
      <c r="R57" s="60">
        <f t="shared" si="12"/>
        <v>0</v>
      </c>
      <c r="S57" s="60">
        <f>Eingabe!$C$25+Eingabe!$E$25*'Berechnung EB 2%'!F57</f>
        <v>39</v>
      </c>
      <c r="T57" s="4">
        <f t="shared" si="8"/>
        <v>-39</v>
      </c>
    </row>
    <row r="58" spans="1:20">
      <c r="A58" s="27">
        <v>48</v>
      </c>
      <c r="B58" s="3">
        <f t="shared" si="0"/>
        <v>0.01</v>
      </c>
      <c r="C58" s="40">
        <v>0</v>
      </c>
      <c r="D58" s="40">
        <f t="shared" si="13"/>
        <v>0</v>
      </c>
      <c r="E58" s="47">
        <f t="shared" si="14"/>
        <v>0</v>
      </c>
      <c r="F58" s="47">
        <f t="shared" si="15"/>
        <v>0</v>
      </c>
      <c r="G58" s="27">
        <f>IF(VLOOKUP(A58,Wechsel!$A$11:$E$31,1)=A58,VLOOKUP(A58,Wechsel!$A$11:$E$31,1),0)</f>
        <v>0</v>
      </c>
      <c r="H58" s="35">
        <f>IF(G58&gt;0,VLOOKUP(A58,Wechsel!$A$11:$E$31,3),H57)</f>
        <v>0</v>
      </c>
      <c r="I58" s="35">
        <f>IF(G58&gt;0,VLOOKUP(A58,Wechsel!$A$11:$E$31,4),I57)</f>
        <v>0</v>
      </c>
      <c r="J58" s="35">
        <f>IF(G58&gt;0,VLOOKUP(A58,Wechsel!$A$11:$E$31,5),J57)</f>
        <v>1</v>
      </c>
      <c r="K58" s="52">
        <f t="shared" si="9"/>
        <v>0</v>
      </c>
      <c r="L58" s="53">
        <f t="shared" si="10"/>
        <v>1554.7847758932569</v>
      </c>
      <c r="M58" s="54">
        <f t="shared" si="16"/>
        <v>0</v>
      </c>
      <c r="N58" s="59">
        <f t="shared" si="5"/>
        <v>1</v>
      </c>
      <c r="O58" s="53">
        <f t="shared" si="11"/>
        <v>0</v>
      </c>
      <c r="P58" s="52">
        <f>MAX(P57-Eingabe!$E$28,0)</f>
        <v>0</v>
      </c>
      <c r="Q58" s="60">
        <f t="shared" si="6"/>
        <v>0</v>
      </c>
      <c r="R58" s="60">
        <f t="shared" si="12"/>
        <v>0</v>
      </c>
      <c r="S58" s="60">
        <f>Eingabe!$C$25+Eingabe!$E$25*'Berechnung EB 2%'!F58</f>
        <v>39</v>
      </c>
      <c r="T58" s="4">
        <f t="shared" si="8"/>
        <v>-39</v>
      </c>
    </row>
    <row r="59" spans="1:20">
      <c r="A59" s="27">
        <v>49</v>
      </c>
      <c r="B59" s="3">
        <f t="shared" si="0"/>
        <v>0.01</v>
      </c>
      <c r="C59" s="40">
        <v>0</v>
      </c>
      <c r="D59" s="40">
        <f t="shared" si="13"/>
        <v>0</v>
      </c>
      <c r="E59" s="47">
        <f t="shared" si="14"/>
        <v>0</v>
      </c>
      <c r="F59" s="47">
        <f t="shared" si="15"/>
        <v>0</v>
      </c>
      <c r="G59" s="27">
        <f>IF(VLOOKUP(A59,Wechsel!$A$11:$E$31,1)=A59,VLOOKUP(A59,Wechsel!$A$11:$E$31,1),0)</f>
        <v>0</v>
      </c>
      <c r="H59" s="35">
        <f>IF(G59&gt;0,VLOOKUP(A59,Wechsel!$A$11:$E$31,3),H58)</f>
        <v>0</v>
      </c>
      <c r="I59" s="35">
        <f>IF(G59&gt;0,VLOOKUP(A59,Wechsel!$A$11:$E$31,4),I58)</f>
        <v>0</v>
      </c>
      <c r="J59" s="35">
        <f>IF(G59&gt;0,VLOOKUP(A59,Wechsel!$A$11:$E$31,5),J58)</f>
        <v>1</v>
      </c>
      <c r="K59" s="52">
        <f t="shared" si="9"/>
        <v>0</v>
      </c>
      <c r="L59" s="53">
        <f t="shared" si="10"/>
        <v>1554.7847758932569</v>
      </c>
      <c r="M59" s="54">
        <f t="shared" si="16"/>
        <v>0</v>
      </c>
      <c r="N59" s="59">
        <f t="shared" si="5"/>
        <v>1</v>
      </c>
      <c r="O59" s="53">
        <f t="shared" si="11"/>
        <v>0</v>
      </c>
      <c r="P59" s="52">
        <f>MAX(P58-Eingabe!$E$28,0)</f>
        <v>0</v>
      </c>
      <c r="Q59" s="60">
        <f t="shared" si="6"/>
        <v>0</v>
      </c>
      <c r="R59" s="60">
        <f t="shared" si="12"/>
        <v>0</v>
      </c>
      <c r="S59" s="60">
        <f>Eingabe!$C$25+Eingabe!$E$25*'Berechnung EB 2%'!F59</f>
        <v>39</v>
      </c>
      <c r="T59" s="4">
        <f t="shared" si="8"/>
        <v>-39</v>
      </c>
    </row>
    <row r="60" spans="1:20">
      <c r="A60" s="27">
        <v>50</v>
      </c>
      <c r="B60" s="3">
        <f t="shared" si="0"/>
        <v>0.01</v>
      </c>
      <c r="C60" s="40">
        <v>0</v>
      </c>
      <c r="D60" s="40">
        <f t="shared" si="13"/>
        <v>0</v>
      </c>
      <c r="E60" s="47">
        <f t="shared" si="14"/>
        <v>0</v>
      </c>
      <c r="F60" s="47">
        <f t="shared" si="15"/>
        <v>0</v>
      </c>
      <c r="G60" s="27">
        <f>IF(VLOOKUP(A60,Wechsel!$A$11:$E$31,1)=A60,VLOOKUP(A60,Wechsel!$A$11:$E$31,1),0)</f>
        <v>0</v>
      </c>
      <c r="H60" s="35">
        <f>IF(G60&gt;0,VLOOKUP(A60,Wechsel!$A$11:$E$31,3),H59)</f>
        <v>0</v>
      </c>
      <c r="I60" s="35">
        <f>IF(G60&gt;0,VLOOKUP(A60,Wechsel!$A$11:$E$31,4),I59)</f>
        <v>0</v>
      </c>
      <c r="J60" s="35">
        <f>IF(G60&gt;0,VLOOKUP(A60,Wechsel!$A$11:$E$31,5),J59)</f>
        <v>1</v>
      </c>
      <c r="K60" s="52">
        <f t="shared" si="9"/>
        <v>0</v>
      </c>
      <c r="L60" s="53">
        <f t="shared" si="10"/>
        <v>1554.7847758932569</v>
      </c>
      <c r="M60" s="54">
        <f t="shared" si="16"/>
        <v>0</v>
      </c>
      <c r="N60" s="59">
        <f t="shared" si="5"/>
        <v>1</v>
      </c>
      <c r="O60" s="53">
        <f t="shared" si="11"/>
        <v>0</v>
      </c>
      <c r="P60" s="52">
        <f>MAX(P59-Eingabe!$E$28,0)</f>
        <v>0</v>
      </c>
      <c r="Q60" s="60">
        <f t="shared" si="6"/>
        <v>0</v>
      </c>
      <c r="R60" s="60">
        <f t="shared" si="12"/>
        <v>0</v>
      </c>
      <c r="S60" s="60">
        <f>Eingabe!$C$25+Eingabe!$E$25*'Berechnung EB 2%'!F60</f>
        <v>39</v>
      </c>
      <c r="T60" s="4">
        <f t="shared" si="8"/>
        <v>-39</v>
      </c>
    </row>
    <row r="61" spans="1:20">
      <c r="A61" s="190">
        <v>51</v>
      </c>
      <c r="B61" s="3">
        <f t="shared" ref="B61:B70" si="17">$G$3*H60+$H$3*I60+$I$3*J60</f>
        <v>0.01</v>
      </c>
      <c r="C61" s="40">
        <v>0</v>
      </c>
      <c r="D61" s="40">
        <f t="shared" ref="D61:D70" si="18">IF(A61&gt;$B$3,0,T60)</f>
        <v>0</v>
      </c>
      <c r="E61" s="47">
        <f t="shared" ref="E61:E70" si="19">(C61+D61)*$B$1</f>
        <v>0</v>
      </c>
      <c r="F61" s="47">
        <f t="shared" ref="F61:F70" si="20">IF(A61&gt;$B$3,0,C61+E61+D61)</f>
        <v>0</v>
      </c>
      <c r="G61" s="190">
        <f>IF(VLOOKUP(A61,Wechsel!$A$11:$E$31,1)=A61,VLOOKUP(A61,Wechsel!$A$11:$E$31,1),0)</f>
        <v>0</v>
      </c>
      <c r="H61" s="35">
        <f>IF(G61&gt;0,VLOOKUP(A61,Wechsel!$A$11:$E$31,3),H60)</f>
        <v>0</v>
      </c>
      <c r="I61" s="35">
        <f>IF(G61&gt;0,VLOOKUP(A61,Wechsel!$A$11:$E$31,4),I60)</f>
        <v>0</v>
      </c>
      <c r="J61" s="35">
        <f>IF(G61&gt;0,VLOOKUP(A61,Wechsel!$A$11:$E$31,5),J60)</f>
        <v>1</v>
      </c>
      <c r="K61" s="52">
        <f t="shared" ref="K61:K70" si="21">D61*$M$1*0.7*0.7*$M$2*H61+D61*$M$1*0.85*0.7*$M$2*I61+D61*$M$1*0.7*$M$2*J61</f>
        <v>0</v>
      </c>
      <c r="L61" s="53">
        <f t="shared" ref="L61:L70" si="22">IF(G60&gt;0,K61,K61+L60)</f>
        <v>1554.7847758932569</v>
      </c>
      <c r="M61" s="54">
        <f t="shared" ref="M61:M70" si="23">IF(A61&gt;$B$3,0,IF(G60&gt;0,T60,C61+M60))</f>
        <v>0</v>
      </c>
      <c r="N61" s="59">
        <f t="shared" ref="N61:N70" si="24">1-(H61*$G$5+I61*$H$5+J61*$I$5)</f>
        <v>1</v>
      </c>
      <c r="O61" s="53">
        <f t="shared" ref="O61:O70" si="25">IF(G61&gt;0,(F61-M61)*N60,0)</f>
        <v>0</v>
      </c>
      <c r="P61" s="52">
        <f>MAX(P60-Eingabe!$E$28,0)</f>
        <v>0</v>
      </c>
      <c r="Q61" s="60">
        <f t="shared" ref="Q61:Q70" si="26">MAX(0,K61+O61*$M$2-P61-IF(G61&gt;0,-(L60+K61),0))</f>
        <v>0</v>
      </c>
      <c r="R61" s="60">
        <f t="shared" ref="R61:R70" si="27">MAX(IF(G61&gt;0,(H61*$G$4+I61*$H$4+J61*$I$4)*(F61-Q61),0),0)</f>
        <v>0</v>
      </c>
      <c r="S61" s="60">
        <f>Eingabe!$C$25+Eingabe!$E$25*'Berechnung EB 2%'!F61</f>
        <v>39</v>
      </c>
      <c r="T61" s="4">
        <f t="shared" ref="T61:T70" si="28">F61-Q61-R61-S61</f>
        <v>-39</v>
      </c>
    </row>
    <row r="62" spans="1:20">
      <c r="A62" s="190">
        <v>52</v>
      </c>
      <c r="B62" s="3">
        <f t="shared" si="17"/>
        <v>0.01</v>
      </c>
      <c r="C62" s="40">
        <v>0</v>
      </c>
      <c r="D62" s="40">
        <f t="shared" si="18"/>
        <v>0</v>
      </c>
      <c r="E62" s="47">
        <f t="shared" si="19"/>
        <v>0</v>
      </c>
      <c r="F62" s="47">
        <f t="shared" si="20"/>
        <v>0</v>
      </c>
      <c r="G62" s="190">
        <f>IF(VLOOKUP(A62,Wechsel!$A$11:$E$31,1)=A62,VLOOKUP(A62,Wechsel!$A$11:$E$31,1),0)</f>
        <v>0</v>
      </c>
      <c r="H62" s="35">
        <f>IF(G62&gt;0,VLOOKUP(A62,Wechsel!$A$11:$E$31,3),H61)</f>
        <v>0</v>
      </c>
      <c r="I62" s="35">
        <f>IF(G62&gt;0,VLOOKUP(A62,Wechsel!$A$11:$E$31,4),I61)</f>
        <v>0</v>
      </c>
      <c r="J62" s="35">
        <f>IF(G62&gt;0,VLOOKUP(A62,Wechsel!$A$11:$E$31,5),J61)</f>
        <v>1</v>
      </c>
      <c r="K62" s="52">
        <f t="shared" si="21"/>
        <v>0</v>
      </c>
      <c r="L62" s="53">
        <f t="shared" si="22"/>
        <v>1554.7847758932569</v>
      </c>
      <c r="M62" s="54">
        <f t="shared" si="23"/>
        <v>0</v>
      </c>
      <c r="N62" s="59">
        <f t="shared" si="24"/>
        <v>1</v>
      </c>
      <c r="O62" s="53">
        <f t="shared" si="25"/>
        <v>0</v>
      </c>
      <c r="P62" s="52">
        <f>MAX(P61-Eingabe!$E$28,0)</f>
        <v>0</v>
      </c>
      <c r="Q62" s="60">
        <f t="shared" si="26"/>
        <v>0</v>
      </c>
      <c r="R62" s="60">
        <f t="shared" si="27"/>
        <v>0</v>
      </c>
      <c r="S62" s="60">
        <f>Eingabe!$C$25+Eingabe!$E$25*'Berechnung EB 2%'!F62</f>
        <v>39</v>
      </c>
      <c r="T62" s="4">
        <f t="shared" si="28"/>
        <v>-39</v>
      </c>
    </row>
    <row r="63" spans="1:20">
      <c r="A63" s="190">
        <v>53</v>
      </c>
      <c r="B63" s="3">
        <f t="shared" si="17"/>
        <v>0.01</v>
      </c>
      <c r="C63" s="40">
        <v>0</v>
      </c>
      <c r="D63" s="40">
        <f t="shared" si="18"/>
        <v>0</v>
      </c>
      <c r="E63" s="47">
        <f t="shared" si="19"/>
        <v>0</v>
      </c>
      <c r="F63" s="47">
        <f t="shared" si="20"/>
        <v>0</v>
      </c>
      <c r="G63" s="190">
        <f>IF(VLOOKUP(A63,Wechsel!$A$11:$E$31,1)=A63,VLOOKUP(A63,Wechsel!$A$11:$E$31,1),0)</f>
        <v>0</v>
      </c>
      <c r="H63" s="35">
        <f>IF(G63&gt;0,VLOOKUP(A63,Wechsel!$A$11:$E$31,3),H62)</f>
        <v>0</v>
      </c>
      <c r="I63" s="35">
        <f>IF(G63&gt;0,VLOOKUP(A63,Wechsel!$A$11:$E$31,4),I62)</f>
        <v>0</v>
      </c>
      <c r="J63" s="35">
        <f>IF(G63&gt;0,VLOOKUP(A63,Wechsel!$A$11:$E$31,5),J62)</f>
        <v>1</v>
      </c>
      <c r="K63" s="52">
        <f t="shared" si="21"/>
        <v>0</v>
      </c>
      <c r="L63" s="53">
        <f t="shared" si="22"/>
        <v>1554.7847758932569</v>
      </c>
      <c r="M63" s="54">
        <f t="shared" si="23"/>
        <v>0</v>
      </c>
      <c r="N63" s="59">
        <f t="shared" si="24"/>
        <v>1</v>
      </c>
      <c r="O63" s="53">
        <f t="shared" si="25"/>
        <v>0</v>
      </c>
      <c r="P63" s="52">
        <f>MAX(P62-Eingabe!$E$28,0)</f>
        <v>0</v>
      </c>
      <c r="Q63" s="60">
        <f t="shared" si="26"/>
        <v>0</v>
      </c>
      <c r="R63" s="60">
        <f t="shared" si="27"/>
        <v>0</v>
      </c>
      <c r="S63" s="60">
        <f>Eingabe!$C$25+Eingabe!$E$25*'Berechnung EB 2%'!F63</f>
        <v>39</v>
      </c>
      <c r="T63" s="4">
        <f t="shared" si="28"/>
        <v>-39</v>
      </c>
    </row>
    <row r="64" spans="1:20">
      <c r="A64" s="190">
        <v>54</v>
      </c>
      <c r="B64" s="3">
        <f t="shared" si="17"/>
        <v>0.01</v>
      </c>
      <c r="C64" s="40">
        <v>0</v>
      </c>
      <c r="D64" s="40">
        <f t="shared" si="18"/>
        <v>0</v>
      </c>
      <c r="E64" s="47">
        <f t="shared" si="19"/>
        <v>0</v>
      </c>
      <c r="F64" s="47">
        <f t="shared" si="20"/>
        <v>0</v>
      </c>
      <c r="G64" s="190">
        <f>IF(VLOOKUP(A64,Wechsel!$A$11:$E$31,1)=A64,VLOOKUP(A64,Wechsel!$A$11:$E$31,1),0)</f>
        <v>0</v>
      </c>
      <c r="H64" s="35">
        <f>IF(G64&gt;0,VLOOKUP(A64,Wechsel!$A$11:$E$31,3),H63)</f>
        <v>0</v>
      </c>
      <c r="I64" s="35">
        <f>IF(G64&gt;0,VLOOKUP(A64,Wechsel!$A$11:$E$31,4),I63)</f>
        <v>0</v>
      </c>
      <c r="J64" s="35">
        <f>IF(G64&gt;0,VLOOKUP(A64,Wechsel!$A$11:$E$31,5),J63)</f>
        <v>1</v>
      </c>
      <c r="K64" s="52">
        <f t="shared" si="21"/>
        <v>0</v>
      </c>
      <c r="L64" s="53">
        <f t="shared" si="22"/>
        <v>1554.7847758932569</v>
      </c>
      <c r="M64" s="54">
        <f t="shared" si="23"/>
        <v>0</v>
      </c>
      <c r="N64" s="59">
        <f t="shared" si="24"/>
        <v>1</v>
      </c>
      <c r="O64" s="53">
        <f t="shared" si="25"/>
        <v>0</v>
      </c>
      <c r="P64" s="52">
        <f>MAX(P63-Eingabe!$E$28,0)</f>
        <v>0</v>
      </c>
      <c r="Q64" s="60">
        <f t="shared" si="26"/>
        <v>0</v>
      </c>
      <c r="R64" s="60">
        <f t="shared" si="27"/>
        <v>0</v>
      </c>
      <c r="S64" s="60">
        <f>Eingabe!$C$25+Eingabe!$E$25*'Berechnung EB 2%'!F64</f>
        <v>39</v>
      </c>
      <c r="T64" s="4">
        <f t="shared" si="28"/>
        <v>-39</v>
      </c>
    </row>
    <row r="65" spans="1:20">
      <c r="A65" s="190">
        <v>55</v>
      </c>
      <c r="B65" s="3">
        <f t="shared" si="17"/>
        <v>0.01</v>
      </c>
      <c r="C65" s="40">
        <v>0</v>
      </c>
      <c r="D65" s="40">
        <f t="shared" si="18"/>
        <v>0</v>
      </c>
      <c r="E65" s="47">
        <f t="shared" si="19"/>
        <v>0</v>
      </c>
      <c r="F65" s="47">
        <f t="shared" si="20"/>
        <v>0</v>
      </c>
      <c r="G65" s="190">
        <f>IF(VLOOKUP(A65,Wechsel!$A$11:$E$31,1)=A65,VLOOKUP(A65,Wechsel!$A$11:$E$31,1),0)</f>
        <v>0</v>
      </c>
      <c r="H65" s="35">
        <f>IF(G65&gt;0,VLOOKUP(A65,Wechsel!$A$11:$E$31,3),H64)</f>
        <v>0</v>
      </c>
      <c r="I65" s="35">
        <f>IF(G65&gt;0,VLOOKUP(A65,Wechsel!$A$11:$E$31,4),I64)</f>
        <v>0</v>
      </c>
      <c r="J65" s="35">
        <f>IF(G65&gt;0,VLOOKUP(A65,Wechsel!$A$11:$E$31,5),J64)</f>
        <v>1</v>
      </c>
      <c r="K65" s="52">
        <f t="shared" si="21"/>
        <v>0</v>
      </c>
      <c r="L65" s="53">
        <f t="shared" si="22"/>
        <v>1554.7847758932569</v>
      </c>
      <c r="M65" s="54">
        <f t="shared" si="23"/>
        <v>0</v>
      </c>
      <c r="N65" s="59">
        <f t="shared" si="24"/>
        <v>1</v>
      </c>
      <c r="O65" s="53">
        <f t="shared" si="25"/>
        <v>0</v>
      </c>
      <c r="P65" s="52">
        <f>MAX(P64-Eingabe!$E$28,0)</f>
        <v>0</v>
      </c>
      <c r="Q65" s="60">
        <f t="shared" si="26"/>
        <v>0</v>
      </c>
      <c r="R65" s="60">
        <f t="shared" si="27"/>
        <v>0</v>
      </c>
      <c r="S65" s="60">
        <f>Eingabe!$C$25+Eingabe!$E$25*'Berechnung EB 2%'!F65</f>
        <v>39</v>
      </c>
      <c r="T65" s="4">
        <f t="shared" si="28"/>
        <v>-39</v>
      </c>
    </row>
    <row r="66" spans="1:20">
      <c r="A66" s="190">
        <v>56</v>
      </c>
      <c r="B66" s="3">
        <f t="shared" si="17"/>
        <v>0.01</v>
      </c>
      <c r="C66" s="40">
        <v>0</v>
      </c>
      <c r="D66" s="40">
        <f t="shared" si="18"/>
        <v>0</v>
      </c>
      <c r="E66" s="47">
        <f t="shared" si="19"/>
        <v>0</v>
      </c>
      <c r="F66" s="47">
        <f t="shared" si="20"/>
        <v>0</v>
      </c>
      <c r="G66" s="190">
        <f>IF(VLOOKUP(A66,Wechsel!$A$11:$E$31,1)=A66,VLOOKUP(A66,Wechsel!$A$11:$E$31,1),0)</f>
        <v>0</v>
      </c>
      <c r="H66" s="35">
        <f>IF(G66&gt;0,VLOOKUP(A66,Wechsel!$A$11:$E$31,3),H65)</f>
        <v>0</v>
      </c>
      <c r="I66" s="35">
        <f>IF(G66&gt;0,VLOOKUP(A66,Wechsel!$A$11:$E$31,4),I65)</f>
        <v>0</v>
      </c>
      <c r="J66" s="35">
        <f>IF(G66&gt;0,VLOOKUP(A66,Wechsel!$A$11:$E$31,5),J65)</f>
        <v>1</v>
      </c>
      <c r="K66" s="52">
        <f t="shared" si="21"/>
        <v>0</v>
      </c>
      <c r="L66" s="53">
        <f t="shared" si="22"/>
        <v>1554.7847758932569</v>
      </c>
      <c r="M66" s="54">
        <f t="shared" si="23"/>
        <v>0</v>
      </c>
      <c r="N66" s="59">
        <f t="shared" si="24"/>
        <v>1</v>
      </c>
      <c r="O66" s="53">
        <f t="shared" si="25"/>
        <v>0</v>
      </c>
      <c r="P66" s="52">
        <f>MAX(P65-Eingabe!$E$28,0)</f>
        <v>0</v>
      </c>
      <c r="Q66" s="60">
        <f t="shared" si="26"/>
        <v>0</v>
      </c>
      <c r="R66" s="60">
        <f t="shared" si="27"/>
        <v>0</v>
      </c>
      <c r="S66" s="60">
        <f>Eingabe!$C$25+Eingabe!$E$25*'Berechnung EB 2%'!F66</f>
        <v>39</v>
      </c>
      <c r="T66" s="4">
        <f t="shared" si="28"/>
        <v>-39</v>
      </c>
    </row>
    <row r="67" spans="1:20">
      <c r="A67" s="190">
        <v>57</v>
      </c>
      <c r="B67" s="3">
        <f t="shared" si="17"/>
        <v>0.01</v>
      </c>
      <c r="C67" s="40">
        <v>0</v>
      </c>
      <c r="D67" s="40">
        <f t="shared" si="18"/>
        <v>0</v>
      </c>
      <c r="E67" s="47">
        <f t="shared" si="19"/>
        <v>0</v>
      </c>
      <c r="F67" s="47">
        <f t="shared" si="20"/>
        <v>0</v>
      </c>
      <c r="G67" s="190">
        <f>IF(VLOOKUP(A67,Wechsel!$A$11:$E$31,1)=A67,VLOOKUP(A67,Wechsel!$A$11:$E$31,1),0)</f>
        <v>0</v>
      </c>
      <c r="H67" s="35">
        <f>IF(G67&gt;0,VLOOKUP(A67,Wechsel!$A$11:$E$31,3),H66)</f>
        <v>0</v>
      </c>
      <c r="I67" s="35">
        <f>IF(G67&gt;0,VLOOKUP(A67,Wechsel!$A$11:$E$31,4),I66)</f>
        <v>0</v>
      </c>
      <c r="J67" s="35">
        <f>IF(G67&gt;0,VLOOKUP(A67,Wechsel!$A$11:$E$31,5),J66)</f>
        <v>1</v>
      </c>
      <c r="K67" s="52">
        <f t="shared" si="21"/>
        <v>0</v>
      </c>
      <c r="L67" s="53">
        <f t="shared" si="22"/>
        <v>1554.7847758932569</v>
      </c>
      <c r="M67" s="54">
        <f t="shared" si="23"/>
        <v>0</v>
      </c>
      <c r="N67" s="59">
        <f t="shared" si="24"/>
        <v>1</v>
      </c>
      <c r="O67" s="53">
        <f t="shared" si="25"/>
        <v>0</v>
      </c>
      <c r="P67" s="52">
        <f>MAX(P66-Eingabe!$E$28,0)</f>
        <v>0</v>
      </c>
      <c r="Q67" s="60">
        <f t="shared" si="26"/>
        <v>0</v>
      </c>
      <c r="R67" s="60">
        <f t="shared" si="27"/>
        <v>0</v>
      </c>
      <c r="S67" s="60">
        <f>Eingabe!$C$25+Eingabe!$E$25*'Berechnung EB 2%'!F67</f>
        <v>39</v>
      </c>
      <c r="T67" s="4">
        <f t="shared" si="28"/>
        <v>-39</v>
      </c>
    </row>
    <row r="68" spans="1:20">
      <c r="A68" s="190">
        <v>58</v>
      </c>
      <c r="B68" s="3">
        <f t="shared" si="17"/>
        <v>0.01</v>
      </c>
      <c r="C68" s="40">
        <v>0</v>
      </c>
      <c r="D68" s="40">
        <f t="shared" si="18"/>
        <v>0</v>
      </c>
      <c r="E68" s="47">
        <f t="shared" si="19"/>
        <v>0</v>
      </c>
      <c r="F68" s="47">
        <f t="shared" si="20"/>
        <v>0</v>
      </c>
      <c r="G68" s="190">
        <f>IF(VLOOKUP(A68,Wechsel!$A$11:$E$31,1)=A68,VLOOKUP(A68,Wechsel!$A$11:$E$31,1),0)</f>
        <v>0</v>
      </c>
      <c r="H68" s="35">
        <f>IF(G68&gt;0,VLOOKUP(A68,Wechsel!$A$11:$E$31,3),H67)</f>
        <v>0</v>
      </c>
      <c r="I68" s="35">
        <f>IF(G68&gt;0,VLOOKUP(A68,Wechsel!$A$11:$E$31,4),I67)</f>
        <v>0</v>
      </c>
      <c r="J68" s="35">
        <f>IF(G68&gt;0,VLOOKUP(A68,Wechsel!$A$11:$E$31,5),J67)</f>
        <v>1</v>
      </c>
      <c r="K68" s="52">
        <f t="shared" si="21"/>
        <v>0</v>
      </c>
      <c r="L68" s="53">
        <f t="shared" si="22"/>
        <v>1554.7847758932569</v>
      </c>
      <c r="M68" s="54">
        <f t="shared" si="23"/>
        <v>0</v>
      </c>
      <c r="N68" s="59">
        <f t="shared" si="24"/>
        <v>1</v>
      </c>
      <c r="O68" s="53">
        <f t="shared" si="25"/>
        <v>0</v>
      </c>
      <c r="P68" s="52">
        <f>MAX(P67-Eingabe!$E$28,0)</f>
        <v>0</v>
      </c>
      <c r="Q68" s="60">
        <f t="shared" si="26"/>
        <v>0</v>
      </c>
      <c r="R68" s="60">
        <f t="shared" si="27"/>
        <v>0</v>
      </c>
      <c r="S68" s="60">
        <f>Eingabe!$C$25+Eingabe!$E$25*'Berechnung EB 2%'!F68</f>
        <v>39</v>
      </c>
      <c r="T68" s="4">
        <f t="shared" si="28"/>
        <v>-39</v>
      </c>
    </row>
    <row r="69" spans="1:20">
      <c r="A69" s="190">
        <v>59</v>
      </c>
      <c r="B69" s="3">
        <f t="shared" si="17"/>
        <v>0.01</v>
      </c>
      <c r="C69" s="40">
        <v>0</v>
      </c>
      <c r="D69" s="40">
        <f t="shared" si="18"/>
        <v>0</v>
      </c>
      <c r="E69" s="47">
        <f t="shared" si="19"/>
        <v>0</v>
      </c>
      <c r="F69" s="47">
        <f t="shared" si="20"/>
        <v>0</v>
      </c>
      <c r="G69" s="190">
        <f>IF(VLOOKUP(A69,Wechsel!$A$11:$E$31,1)=A69,VLOOKUP(A69,Wechsel!$A$11:$E$31,1),0)</f>
        <v>0</v>
      </c>
      <c r="H69" s="35">
        <f>IF(G69&gt;0,VLOOKUP(A69,Wechsel!$A$11:$E$31,3),H68)</f>
        <v>0</v>
      </c>
      <c r="I69" s="35">
        <f>IF(G69&gt;0,VLOOKUP(A69,Wechsel!$A$11:$E$31,4),I68)</f>
        <v>0</v>
      </c>
      <c r="J69" s="35">
        <f>IF(G69&gt;0,VLOOKUP(A69,Wechsel!$A$11:$E$31,5),J68)</f>
        <v>1</v>
      </c>
      <c r="K69" s="52">
        <f t="shared" si="21"/>
        <v>0</v>
      </c>
      <c r="L69" s="53">
        <f t="shared" si="22"/>
        <v>1554.7847758932569</v>
      </c>
      <c r="M69" s="54">
        <f t="shared" si="23"/>
        <v>0</v>
      </c>
      <c r="N69" s="59">
        <f t="shared" si="24"/>
        <v>1</v>
      </c>
      <c r="O69" s="53">
        <f t="shared" si="25"/>
        <v>0</v>
      </c>
      <c r="P69" s="52">
        <f>MAX(P68-Eingabe!$E$28,0)</f>
        <v>0</v>
      </c>
      <c r="Q69" s="60">
        <f t="shared" si="26"/>
        <v>0</v>
      </c>
      <c r="R69" s="60">
        <f t="shared" si="27"/>
        <v>0</v>
      </c>
      <c r="S69" s="60">
        <f>Eingabe!$C$25+Eingabe!$E$25*'Berechnung EB 2%'!F69</f>
        <v>39</v>
      </c>
      <c r="T69" s="4">
        <f t="shared" si="28"/>
        <v>-39</v>
      </c>
    </row>
    <row r="70" spans="1:20">
      <c r="A70" s="190">
        <v>60</v>
      </c>
      <c r="B70" s="3">
        <f t="shared" si="17"/>
        <v>0.01</v>
      </c>
      <c r="C70" s="40">
        <v>0</v>
      </c>
      <c r="D70" s="40">
        <f t="shared" si="18"/>
        <v>0</v>
      </c>
      <c r="E70" s="47">
        <f t="shared" si="19"/>
        <v>0</v>
      </c>
      <c r="F70" s="47">
        <f t="shared" si="20"/>
        <v>0</v>
      </c>
      <c r="G70" s="190">
        <f>IF(VLOOKUP(A70,Wechsel!$A$11:$E$31,1)=A70,VLOOKUP(A70,Wechsel!$A$11:$E$31,1),0)</f>
        <v>0</v>
      </c>
      <c r="H70" s="35">
        <f>IF(G70&gt;0,VLOOKUP(A70,Wechsel!$A$11:$E$31,3),H69)</f>
        <v>0</v>
      </c>
      <c r="I70" s="35">
        <f>IF(G70&gt;0,VLOOKUP(A70,Wechsel!$A$11:$E$31,4),I69)</f>
        <v>0</v>
      </c>
      <c r="J70" s="35">
        <f>IF(G70&gt;0,VLOOKUP(A70,Wechsel!$A$11:$E$31,5),J69)</f>
        <v>1</v>
      </c>
      <c r="K70" s="52">
        <f t="shared" si="21"/>
        <v>0</v>
      </c>
      <c r="L70" s="53">
        <f t="shared" si="22"/>
        <v>1554.7847758932569</v>
      </c>
      <c r="M70" s="54">
        <f t="shared" si="23"/>
        <v>0</v>
      </c>
      <c r="N70" s="59">
        <f t="shared" si="24"/>
        <v>1</v>
      </c>
      <c r="O70" s="53">
        <f t="shared" si="25"/>
        <v>0</v>
      </c>
      <c r="P70" s="52">
        <f>MAX(P69-Eingabe!$E$28,0)</f>
        <v>0</v>
      </c>
      <c r="Q70" s="60">
        <f t="shared" si="26"/>
        <v>0</v>
      </c>
      <c r="R70" s="60">
        <f t="shared" si="27"/>
        <v>0</v>
      </c>
      <c r="S70" s="60">
        <f>Eingabe!$C$25+Eingabe!$E$25*'Berechnung EB 2%'!F70</f>
        <v>39</v>
      </c>
      <c r="T70" s="4">
        <f t="shared" si="28"/>
        <v>-39</v>
      </c>
    </row>
  </sheetData>
  <mergeCells count="3">
    <mergeCell ref="F1:I1"/>
    <mergeCell ref="J1:J2"/>
    <mergeCell ref="J4:Q4"/>
  </mergeCells>
  <conditionalFormatting sqref="H1 H81:H1048576 G11:G80">
    <cfRule type="cellIs" dxfId="1" priority="1" operator="greaterThan">
      <formula>0</formula>
    </cfRule>
  </conditionalFormatting>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0"/>
  <dimension ref="A1:U70"/>
  <sheetViews>
    <sheetView showGridLines="0" zoomScale="85" zoomScaleNormal="85" workbookViewId="0">
      <pane ySplit="9" topLeftCell="A58" activePane="bottomLeft" state="frozen"/>
      <selection pane="bottomLeft" activeCell="A56" sqref="A56:T70"/>
    </sheetView>
  </sheetViews>
  <sheetFormatPr baseColWidth="10" defaultColWidth="11.42578125" defaultRowHeight="15"/>
  <cols>
    <col min="1" max="1" width="10.42578125" style="27" bestFit="1" customWidth="1"/>
    <col min="2" max="2" width="17" style="144" bestFit="1" customWidth="1"/>
    <col min="3" max="3" width="7.28515625" style="27" bestFit="1" customWidth="1"/>
    <col min="4" max="4" width="22.5703125" style="27" bestFit="1" customWidth="1"/>
    <col min="5" max="5" width="8" style="27" bestFit="1" customWidth="1"/>
    <col min="6" max="6" width="17" style="27" bestFit="1" customWidth="1"/>
    <col min="7" max="7" width="10.85546875" style="27" bestFit="1" customWidth="1"/>
    <col min="8" max="8" width="17.85546875" style="27" bestFit="1" customWidth="1"/>
    <col min="9" max="9" width="17.5703125" style="27" bestFit="1" customWidth="1"/>
    <col min="10" max="10" width="27.85546875" style="27" bestFit="1" customWidth="1"/>
    <col min="11" max="11" width="16.42578125" style="27" bestFit="1" customWidth="1"/>
    <col min="12" max="12" width="25.7109375" style="27" bestFit="1" customWidth="1"/>
    <col min="13" max="13" width="15.42578125" style="27" bestFit="1" customWidth="1"/>
    <col min="14" max="14" width="13.42578125" style="27" bestFit="1" customWidth="1"/>
    <col min="15" max="15" width="27.140625" style="27" bestFit="1" customWidth="1"/>
    <col min="16" max="16" width="20" style="27" bestFit="1" customWidth="1"/>
    <col min="17" max="17" width="11.7109375" style="60" bestFit="1" customWidth="1"/>
    <col min="18" max="18" width="14.7109375" style="27" bestFit="1" customWidth="1"/>
    <col min="19" max="19" width="12.42578125" style="27" bestFit="1" customWidth="1"/>
    <col min="20" max="20" width="15" style="27" bestFit="1" customWidth="1"/>
    <col min="21" max="21" width="18.7109375" style="27" bestFit="1" customWidth="1"/>
    <col min="22" max="16384" width="11.42578125" style="27"/>
  </cols>
  <sheetData>
    <row r="1" spans="1:21">
      <c r="A1" s="39" t="s">
        <v>0</v>
      </c>
      <c r="B1" s="5">
        <f>Hilfe!E3-Hilfe!G16</f>
        <v>0.06</v>
      </c>
      <c r="D1" s="3"/>
      <c r="F1" s="298" t="s">
        <v>10</v>
      </c>
      <c r="G1" s="299"/>
      <c r="H1" s="299"/>
      <c r="I1" s="300"/>
      <c r="J1" s="316"/>
      <c r="L1" s="27" t="s">
        <v>19</v>
      </c>
      <c r="M1" s="5">
        <f>MIN(4%,B1)</f>
        <v>0.04</v>
      </c>
      <c r="P1" s="5"/>
    </row>
    <row r="2" spans="1:21">
      <c r="A2" s="39" t="s">
        <v>62</v>
      </c>
      <c r="B2" s="1">
        <f>Eingabe!C10</f>
        <v>100000</v>
      </c>
      <c r="D2" s="1"/>
      <c r="F2" s="42"/>
      <c r="G2" s="29" t="s">
        <v>11</v>
      </c>
      <c r="H2" s="29" t="s">
        <v>12</v>
      </c>
      <c r="I2" s="43" t="s">
        <v>31</v>
      </c>
      <c r="J2" s="317"/>
      <c r="L2" s="27" t="s">
        <v>42</v>
      </c>
      <c r="M2" s="5">
        <f>'Berechnung Ratierlich heute'!M2</f>
        <v>0.26374999999999998</v>
      </c>
      <c r="P2" s="3"/>
    </row>
    <row r="3" spans="1:21" ht="15.75" thickBot="1">
      <c r="A3" s="39" t="s">
        <v>14</v>
      </c>
      <c r="B3" s="27">
        <f>Eingabe!C9</f>
        <v>12</v>
      </c>
      <c r="F3" s="55" t="s">
        <v>10</v>
      </c>
      <c r="G3" s="44">
        <f>Eingabe!C21</f>
        <v>0.01</v>
      </c>
      <c r="H3" s="44">
        <f>Eingabe!E21</f>
        <v>0.01</v>
      </c>
      <c r="I3" s="45">
        <f>Eingabe!G21</f>
        <v>0.01</v>
      </c>
      <c r="J3" s="64"/>
    </row>
    <row r="4" spans="1:21" ht="15.75" thickBot="1">
      <c r="F4" s="56" t="s">
        <v>32</v>
      </c>
      <c r="G4" s="46">
        <f>Eingabe!C22</f>
        <v>0.01</v>
      </c>
      <c r="H4" s="46">
        <f>Eingabe!E22</f>
        <v>0.01</v>
      </c>
      <c r="I4" s="46">
        <f>Eingabe!G22</f>
        <v>0.01</v>
      </c>
      <c r="J4" s="318" t="s">
        <v>48</v>
      </c>
      <c r="K4" s="319"/>
      <c r="L4" s="319"/>
      <c r="M4" s="319"/>
      <c r="N4" s="319"/>
      <c r="O4" s="319"/>
      <c r="P4" s="319"/>
      <c r="Q4" s="320"/>
    </row>
    <row r="5" spans="1:21" ht="15.75" thickBot="1">
      <c r="F5" s="57" t="s">
        <v>6</v>
      </c>
      <c r="G5" s="58">
        <v>0.3</v>
      </c>
      <c r="H5" s="58">
        <v>0.15</v>
      </c>
      <c r="I5" s="58">
        <v>0</v>
      </c>
      <c r="J5" s="66" t="s">
        <v>2</v>
      </c>
      <c r="K5" s="67" t="s">
        <v>47</v>
      </c>
      <c r="L5" s="67" t="s">
        <v>13</v>
      </c>
      <c r="M5" s="67" t="s">
        <v>118</v>
      </c>
      <c r="N5" s="67" t="s">
        <v>17</v>
      </c>
      <c r="O5" s="67" t="s">
        <v>43</v>
      </c>
      <c r="P5" s="67" t="s">
        <v>46</v>
      </c>
      <c r="Q5" s="71" t="s">
        <v>15</v>
      </c>
      <c r="R5" s="60"/>
    </row>
    <row r="6" spans="1:21" ht="15.75" thickBot="1">
      <c r="J6" s="68">
        <f>B3</f>
        <v>12</v>
      </c>
      <c r="K6" s="69">
        <f>MAX(VLOOKUP(J6,A11:AD70,20),0)</f>
        <v>145716.06160119572</v>
      </c>
      <c r="L6" s="69">
        <f>MAX(VLOOKUP(J6,A11:AD60,13),0)</f>
        <v>126952.3568649613</v>
      </c>
      <c r="M6" s="70">
        <f>VLOOKUP(J6,A11:AD60,14)</f>
        <v>1</v>
      </c>
      <c r="N6" s="69">
        <f>(K6-L6)*M6</f>
        <v>18763.704736234416</v>
      </c>
      <c r="O6" s="69">
        <f>VLOOKUP(J6,A11:AD60,12)</f>
        <v>2946.9302436244579</v>
      </c>
      <c r="P6" s="69">
        <f>VLOOKUP(J6,A11:AD60,16)</f>
        <v>0</v>
      </c>
      <c r="Q6" s="72">
        <f>K6-(N6-P6-O6)*M2</f>
        <v>141544.38732876984</v>
      </c>
      <c r="R6" s="60"/>
    </row>
    <row r="9" spans="1:21">
      <c r="A9" s="32" t="s">
        <v>2</v>
      </c>
      <c r="B9" s="32" t="s">
        <v>10</v>
      </c>
      <c r="C9" s="32" t="s">
        <v>3</v>
      </c>
      <c r="D9" s="32" t="s">
        <v>45</v>
      </c>
      <c r="E9" s="32" t="s">
        <v>0</v>
      </c>
      <c r="F9" s="32" t="s">
        <v>7</v>
      </c>
      <c r="G9" s="32" t="s">
        <v>8</v>
      </c>
      <c r="H9" s="32" t="s">
        <v>4</v>
      </c>
      <c r="I9" s="32" t="s">
        <v>5</v>
      </c>
      <c r="J9" s="32" t="s">
        <v>31</v>
      </c>
      <c r="K9" s="32" t="s">
        <v>20</v>
      </c>
      <c r="L9" s="32" t="s">
        <v>43</v>
      </c>
      <c r="M9" s="32" t="s">
        <v>13</v>
      </c>
      <c r="N9" s="32" t="s">
        <v>6</v>
      </c>
      <c r="O9" s="32" t="s">
        <v>44</v>
      </c>
      <c r="P9" s="32" t="s">
        <v>46</v>
      </c>
      <c r="Q9" s="61" t="s">
        <v>9</v>
      </c>
      <c r="R9" s="32" t="s">
        <v>18</v>
      </c>
      <c r="S9" s="32" t="s">
        <v>52</v>
      </c>
      <c r="T9" s="32" t="s">
        <v>47</v>
      </c>
      <c r="U9" s="2"/>
    </row>
    <row r="10" spans="1:21">
      <c r="A10" s="51">
        <v>0</v>
      </c>
      <c r="B10" s="51"/>
      <c r="C10" s="2"/>
      <c r="D10" s="2"/>
      <c r="E10" s="2"/>
      <c r="F10" s="2"/>
      <c r="G10" s="2"/>
      <c r="H10" s="3">
        <f>Eingabe!C18</f>
        <v>1</v>
      </c>
      <c r="I10" s="3">
        <f>Eingabe!E18</f>
        <v>0</v>
      </c>
      <c r="J10" s="3">
        <f>Eingabe!G18</f>
        <v>0</v>
      </c>
      <c r="K10" s="3"/>
      <c r="L10" s="3"/>
      <c r="M10" s="3"/>
      <c r="N10" s="3"/>
      <c r="O10" s="3"/>
      <c r="P10" s="2"/>
      <c r="Q10" s="62"/>
      <c r="R10" s="2"/>
      <c r="S10" s="2"/>
      <c r="T10" s="2"/>
      <c r="U10" s="2"/>
    </row>
    <row r="11" spans="1:21">
      <c r="A11" s="27">
        <v>1</v>
      </c>
      <c r="B11" s="3">
        <f>$G$3*H10+$H$3*I10+$I$3*J10</f>
        <v>0.01</v>
      </c>
      <c r="C11" s="40">
        <f>IF($B$3&gt;=A11,$B$2,0)/(1+B11)</f>
        <v>99009.900990099006</v>
      </c>
      <c r="D11" s="40">
        <f>C11</f>
        <v>99009.900990099006</v>
      </c>
      <c r="E11" s="47">
        <f>C11*$B$1</f>
        <v>5940.5940594059402</v>
      </c>
      <c r="F11" s="47">
        <f>C11+E11</f>
        <v>104950.49504950494</v>
      </c>
      <c r="G11" s="27">
        <f>VLOOKUP(A11,Wechsel!$A$11:$E$31,1)</f>
        <v>0</v>
      </c>
      <c r="H11" s="35">
        <f>IF(G11&gt;0,VLOOKUP(A11,Wechsel!$A$11:$E$31,3),H10)</f>
        <v>1</v>
      </c>
      <c r="I11" s="35">
        <f>IF(G11&gt;0,VLOOKUP(A11,Wechsel!$A$11:$E$31,4),I10)</f>
        <v>0</v>
      </c>
      <c r="J11" s="35">
        <f>IF(G11&gt;0,VLOOKUP(A11,Wechsel!$A$11:$E$31,5),J10)</f>
        <v>0</v>
      </c>
      <c r="K11" s="52">
        <f>D11*$M$1*0.7*0.7*$M$2*H11+D11*$M$1*0.85*0.7*$M$2*I11+D11*$M$1*0.7*$M$2*J11</f>
        <v>511.83168316831672</v>
      </c>
      <c r="L11" s="53">
        <f>K11+L10</f>
        <v>511.83168316831672</v>
      </c>
      <c r="M11" s="54">
        <f>C11</f>
        <v>99009.900990099006</v>
      </c>
      <c r="N11" s="59">
        <f>1-(H11*$G$5+I11*$H$5+J11*$I$5)</f>
        <v>0.7</v>
      </c>
      <c r="O11" s="53">
        <f>IF(G11&gt;0,(F11-M11)*N11,0)</f>
        <v>0</v>
      </c>
      <c r="P11" s="52">
        <f>MAX(Eingabe!C28,0)</f>
        <v>0</v>
      </c>
      <c r="Q11" s="60">
        <f>MAX(0,K11+O11*$M$2-P11-IF(G11&gt;0,-(L10+K11),0))</f>
        <v>511.83168316831672</v>
      </c>
      <c r="R11" s="60">
        <f>MAX(IF(G11&gt;0,(H11*$G$4+I11*$H$4+J11*$I$4)*F11,0),0)</f>
        <v>0</v>
      </c>
      <c r="S11" s="60">
        <f>Eingabe!$C$25+Eingabe!$E$25*'Berechnung EB 4%'!F11</f>
        <v>563.75247524752467</v>
      </c>
      <c r="T11" s="4">
        <f>F11-Q11-R11-S11</f>
        <v>103874.91089108909</v>
      </c>
    </row>
    <row r="12" spans="1:21">
      <c r="A12" s="27">
        <v>2</v>
      </c>
      <c r="B12" s="3">
        <f t="shared" ref="B12:B60" si="0">$G$3*H11+$H$3*I11+$I$3*J11</f>
        <v>0.01</v>
      </c>
      <c r="C12" s="40">
        <v>0</v>
      </c>
      <c r="D12" s="40">
        <f t="shared" ref="D12:D43" si="1">IF(A12&gt;$B$3,0,T11)</f>
        <v>103874.91089108909</v>
      </c>
      <c r="E12" s="47">
        <f t="shared" ref="E12:E43" si="2">(C12+D12)*$B$1</f>
        <v>6232.4946534653454</v>
      </c>
      <c r="F12" s="47">
        <f t="shared" ref="F12:F43" si="3">IF(A12&gt;$B$3,0,C12+E12+D12)</f>
        <v>110107.40554455444</v>
      </c>
      <c r="G12" s="27">
        <f>IF(VLOOKUP(A12,Wechsel!$A$11:$E$31,1)=A12,VLOOKUP(A12,Wechsel!$A$11:$E$31,1),0)</f>
        <v>0</v>
      </c>
      <c r="H12" s="35">
        <f>IF(G12&gt;0,VLOOKUP(A12,Wechsel!$A$11:$E$31,3),H11)</f>
        <v>1</v>
      </c>
      <c r="I12" s="35">
        <f>IF(G12&gt;0,VLOOKUP(A12,Wechsel!$A$11:$E$31,4),I11)</f>
        <v>0</v>
      </c>
      <c r="J12" s="35">
        <f>IF(G12&gt;0,VLOOKUP(A12,Wechsel!$A$11:$E$31,5),J11)</f>
        <v>0</v>
      </c>
      <c r="K12" s="52">
        <f>D12*$M$1*0.7*0.7*$M$2*H12+D12*$M$1*0.85*0.7*$M$2*I12+D12*$M$1*0.7*$M$2*J12</f>
        <v>536.98135185148499</v>
      </c>
      <c r="L12" s="53">
        <f>IF(G11&gt;0,K12,K12+L11)</f>
        <v>1048.8130350198016</v>
      </c>
      <c r="M12" s="54">
        <f t="shared" ref="M12:M43" si="4">IF(A12&gt;$B$3,0,IF(G11&gt;0,T11,C12+M11))</f>
        <v>99009.900990099006</v>
      </c>
      <c r="N12" s="59">
        <f t="shared" ref="N12:N60" si="5">1-(H12*$G$5+I12*$H$5+J12*$I$5)</f>
        <v>0.7</v>
      </c>
      <c r="O12" s="53">
        <f>IF(G12&gt;0,(F12-M12)*N11,0)</f>
        <v>0</v>
      </c>
      <c r="P12" s="52">
        <f>MAX(P11-Eingabe!$E$28,0)</f>
        <v>0</v>
      </c>
      <c r="Q12" s="60">
        <f t="shared" ref="Q12:Q60" si="6">MAX(0,K12+O12*$M$2-P12-IF(G12&gt;0,-(L11+K12),0))</f>
        <v>536.98135185148499</v>
      </c>
      <c r="R12" s="60">
        <f t="shared" ref="R12:R18" si="7">MAX(IF(G12&gt;0,(H12*$G$4+I12*$H$4+J12*$I$4)*(F12-Q12),0),0)</f>
        <v>0</v>
      </c>
      <c r="S12" s="60">
        <f>Eingabe!$C$25+Eingabe!$E$25*'Berechnung EB 4%'!F12</f>
        <v>589.53702772277222</v>
      </c>
      <c r="T12" s="4">
        <f t="shared" ref="T12:T60" si="8">F12-Q12-R12-S12</f>
        <v>108980.88716498017</v>
      </c>
    </row>
    <row r="13" spans="1:21">
      <c r="A13" s="27">
        <v>3</v>
      </c>
      <c r="B13" s="3">
        <f t="shared" si="0"/>
        <v>0.01</v>
      </c>
      <c r="C13" s="40">
        <v>0</v>
      </c>
      <c r="D13" s="40">
        <f t="shared" si="1"/>
        <v>108980.88716498017</v>
      </c>
      <c r="E13" s="47">
        <f t="shared" si="2"/>
        <v>6538.8532298988102</v>
      </c>
      <c r="F13" s="47">
        <f t="shared" si="3"/>
        <v>115519.74039487899</v>
      </c>
      <c r="G13" s="27">
        <f>IF(VLOOKUP(A13,Wechsel!$A$11:$E$31,1)=A13,VLOOKUP(A13,Wechsel!$A$11:$E$31,1),0)</f>
        <v>3</v>
      </c>
      <c r="H13" s="35">
        <f>IF(G13&gt;0,VLOOKUP(A13,Wechsel!$A$11:$E$31,3),H12)</f>
        <v>0.66666666666666674</v>
      </c>
      <c r="I13" s="35">
        <f>IF(G13&gt;0,VLOOKUP(A13,Wechsel!$A$11:$E$31,4),I12)</f>
        <v>0</v>
      </c>
      <c r="J13" s="35">
        <f>IF(G13&gt;0,VLOOKUP(A13,Wechsel!$A$11:$E$31,5),J12)</f>
        <v>0.33333333333333326</v>
      </c>
      <c r="K13" s="52">
        <f t="shared" ref="K13:K60" si="9">D13*$M$1*0.7*0.7*$M$2*H13+D13*$M$1*0.85*0.7*$M$2*I13+D13*$M$1*0.7*$M$2*J13</f>
        <v>643.85908137070282</v>
      </c>
      <c r="L13" s="53">
        <f t="shared" ref="L13:L60" si="10">IF(G12&gt;0,K13,K13+L12)</f>
        <v>1692.6721163905045</v>
      </c>
      <c r="M13" s="54">
        <f t="shared" si="4"/>
        <v>99009.900990099006</v>
      </c>
      <c r="N13" s="59">
        <f t="shared" si="5"/>
        <v>0.8</v>
      </c>
      <c r="O13" s="53">
        <f t="shared" ref="O13:O60" si="11">IF(G13&gt;0,(F13-M13)*N12,0)</f>
        <v>11556.887583345986</v>
      </c>
      <c r="P13" s="52">
        <f>MAX(P12-Eingabe!$E$28,0)</f>
        <v>0</v>
      </c>
      <c r="Q13" s="60">
        <f t="shared" si="6"/>
        <v>5384.6602978687115</v>
      </c>
      <c r="R13" s="60">
        <f t="shared" si="7"/>
        <v>1101.3508009701027</v>
      </c>
      <c r="S13" s="60">
        <f>Eingabe!$C$25+Eingabe!$E$25*'Berechnung EB 4%'!F13</f>
        <v>616.598701974395</v>
      </c>
      <c r="T13" s="4">
        <f t="shared" si="8"/>
        <v>108417.13059406578</v>
      </c>
    </row>
    <row r="14" spans="1:21">
      <c r="A14" s="27">
        <v>4</v>
      </c>
      <c r="B14" s="3">
        <f t="shared" si="0"/>
        <v>0.01</v>
      </c>
      <c r="C14" s="40">
        <v>0</v>
      </c>
      <c r="D14" s="40">
        <f t="shared" si="1"/>
        <v>108417.13059406578</v>
      </c>
      <c r="E14" s="47">
        <f t="shared" si="2"/>
        <v>6505.0278356439467</v>
      </c>
      <c r="F14" s="47">
        <f t="shared" si="3"/>
        <v>114922.15842970973</v>
      </c>
      <c r="G14" s="27">
        <f>IF(VLOOKUP(A14,Wechsel!$A$11:$E$31,1)=A14,VLOOKUP(A14,Wechsel!$A$11:$E$31,1),0)</f>
        <v>0</v>
      </c>
      <c r="H14" s="35">
        <f>IF(G14&gt;0,VLOOKUP(A14,Wechsel!$A$11:$E$31,3),H13)</f>
        <v>0.66666666666666674</v>
      </c>
      <c r="I14" s="35">
        <f>IF(G14&gt;0,VLOOKUP(A14,Wechsel!$A$11:$E$31,4),I13)</f>
        <v>0</v>
      </c>
      <c r="J14" s="35">
        <f>IF(G14&gt;0,VLOOKUP(A14,Wechsel!$A$11:$E$31,5),J13)</f>
        <v>0.33333333333333326</v>
      </c>
      <c r="K14" s="52">
        <f t="shared" si="9"/>
        <v>640.52840754974045</v>
      </c>
      <c r="L14" s="53">
        <f t="shared" si="10"/>
        <v>640.52840754974045</v>
      </c>
      <c r="M14" s="54">
        <f t="shared" si="4"/>
        <v>108417.13059406578</v>
      </c>
      <c r="N14" s="59">
        <f t="shared" si="5"/>
        <v>0.8</v>
      </c>
      <c r="O14" s="53">
        <f t="shared" si="11"/>
        <v>0</v>
      </c>
      <c r="P14" s="52">
        <f>MAX(P13-Eingabe!$E$28,0)</f>
        <v>0</v>
      </c>
      <c r="Q14" s="60">
        <f t="shared" si="6"/>
        <v>640.52840754974045</v>
      </c>
      <c r="R14" s="60">
        <f t="shared" si="7"/>
        <v>0</v>
      </c>
      <c r="S14" s="60">
        <f>Eingabe!$C$25+Eingabe!$E$25*'Berechnung EB 4%'!F14</f>
        <v>613.61079214854863</v>
      </c>
      <c r="T14" s="4">
        <f t="shared" si="8"/>
        <v>113668.01923001143</v>
      </c>
    </row>
    <row r="15" spans="1:21">
      <c r="A15" s="27">
        <v>5</v>
      </c>
      <c r="B15" s="3">
        <f t="shared" si="0"/>
        <v>0.01</v>
      </c>
      <c r="C15" s="40">
        <v>0</v>
      </c>
      <c r="D15" s="40">
        <f t="shared" si="1"/>
        <v>113668.01923001143</v>
      </c>
      <c r="E15" s="47">
        <f t="shared" si="2"/>
        <v>6820.0811538006856</v>
      </c>
      <c r="F15" s="47">
        <f t="shared" si="3"/>
        <v>120488.10038381211</v>
      </c>
      <c r="G15" s="27">
        <f>IF(VLOOKUP(A15,Wechsel!$A$11:$E$31,1)=A15,VLOOKUP(A15,Wechsel!$A$11:$E$31,1),0)</f>
        <v>0</v>
      </c>
      <c r="H15" s="35">
        <f>IF(G15&gt;0,VLOOKUP(A15,Wechsel!$A$11:$E$31,3),H14)</f>
        <v>0.66666666666666674</v>
      </c>
      <c r="I15" s="35">
        <f>IF(G15&gt;0,VLOOKUP(A15,Wechsel!$A$11:$E$31,4),I14)</f>
        <v>0</v>
      </c>
      <c r="J15" s="35">
        <f>IF(G15&gt;0,VLOOKUP(A15,Wechsel!$A$11:$E$31,5),J14)</f>
        <v>0.33333333333333326</v>
      </c>
      <c r="K15" s="52">
        <f t="shared" si="9"/>
        <v>671.55065761090736</v>
      </c>
      <c r="L15" s="53">
        <f t="shared" si="10"/>
        <v>1312.0790651606478</v>
      </c>
      <c r="M15" s="54">
        <f t="shared" si="4"/>
        <v>108417.13059406578</v>
      </c>
      <c r="N15" s="59">
        <f t="shared" si="5"/>
        <v>0.8</v>
      </c>
      <c r="O15" s="53">
        <f t="shared" si="11"/>
        <v>0</v>
      </c>
      <c r="P15" s="52">
        <f>MAX(P14-Eingabe!$E$28,0)</f>
        <v>0</v>
      </c>
      <c r="Q15" s="60">
        <f t="shared" si="6"/>
        <v>671.55065761090736</v>
      </c>
      <c r="R15" s="60">
        <f t="shared" si="7"/>
        <v>0</v>
      </c>
      <c r="S15" s="60">
        <f>Eingabe!$C$25+Eingabe!$E$25*'Berechnung EB 4%'!F15</f>
        <v>641.44050191906058</v>
      </c>
      <c r="T15" s="4">
        <f t="shared" si="8"/>
        <v>119175.10922428215</v>
      </c>
    </row>
    <row r="16" spans="1:21">
      <c r="A16" s="27">
        <v>6</v>
      </c>
      <c r="B16" s="3">
        <f t="shared" si="0"/>
        <v>0.01</v>
      </c>
      <c r="C16" s="40">
        <v>0</v>
      </c>
      <c r="D16" s="40">
        <f t="shared" si="1"/>
        <v>119175.10922428215</v>
      </c>
      <c r="E16" s="47">
        <f t="shared" si="2"/>
        <v>7150.5065534569285</v>
      </c>
      <c r="F16" s="47">
        <f t="shared" si="3"/>
        <v>126325.61577773908</v>
      </c>
      <c r="G16" s="27">
        <f>IF(VLOOKUP(A16,Wechsel!$A$11:$E$31,1)=A16,VLOOKUP(A16,Wechsel!$A$11:$E$31,1),0)</f>
        <v>6</v>
      </c>
      <c r="H16" s="35">
        <f>IF(G16&gt;0,VLOOKUP(A16,Wechsel!$A$11:$E$31,3),H15)</f>
        <v>0.33333333333333343</v>
      </c>
      <c r="I16" s="35">
        <f>IF(G16&gt;0,VLOOKUP(A16,Wechsel!$A$11:$E$31,4),I15)</f>
        <v>0</v>
      </c>
      <c r="J16" s="35">
        <f>IF(G16&gt;0,VLOOKUP(A16,Wechsel!$A$11:$E$31,5),J15)</f>
        <v>0.66666666666666652</v>
      </c>
      <c r="K16" s="52">
        <f t="shared" si="9"/>
        <v>792.097363459191</v>
      </c>
      <c r="L16" s="53">
        <f t="shared" si="10"/>
        <v>2104.1764286198386</v>
      </c>
      <c r="M16" s="54">
        <f t="shared" si="4"/>
        <v>108417.13059406578</v>
      </c>
      <c r="N16" s="59">
        <f t="shared" si="5"/>
        <v>0.9</v>
      </c>
      <c r="O16" s="53">
        <f t="shared" si="11"/>
        <v>14326.788146938641</v>
      </c>
      <c r="P16" s="52">
        <f>MAX(P15-Eingabe!$E$28,0)</f>
        <v>0</v>
      </c>
      <c r="Q16" s="60">
        <f t="shared" si="6"/>
        <v>6674.9641658340961</v>
      </c>
      <c r="R16" s="60">
        <f t="shared" si="7"/>
        <v>1196.5065161190498</v>
      </c>
      <c r="S16" s="60">
        <f>Eingabe!$C$25+Eingabe!$E$25*'Berechnung EB 4%'!F16</f>
        <v>670.62807888869543</v>
      </c>
      <c r="T16" s="4">
        <f t="shared" si="8"/>
        <v>117783.51701689724</v>
      </c>
    </row>
    <row r="17" spans="1:20">
      <c r="A17" s="27">
        <v>7</v>
      </c>
      <c r="B17" s="3">
        <f t="shared" si="0"/>
        <v>0.01</v>
      </c>
      <c r="C17" s="40">
        <v>0</v>
      </c>
      <c r="D17" s="40">
        <f t="shared" si="1"/>
        <v>117783.51701689724</v>
      </c>
      <c r="E17" s="47">
        <f t="shared" si="2"/>
        <v>7067.0110210138346</v>
      </c>
      <c r="F17" s="47">
        <f t="shared" si="3"/>
        <v>124850.52803791108</v>
      </c>
      <c r="G17" s="27">
        <f>IF(VLOOKUP(A17,Wechsel!$A$11:$E$31,1)=A17,VLOOKUP(A17,Wechsel!$A$11:$E$31,1),0)</f>
        <v>0</v>
      </c>
      <c r="H17" s="35">
        <f>IF(G17&gt;0,VLOOKUP(A17,Wechsel!$A$11:$E$31,3),H16)</f>
        <v>0.33333333333333343</v>
      </c>
      <c r="I17" s="35">
        <f>IF(G17&gt;0,VLOOKUP(A17,Wechsel!$A$11:$E$31,4),I16)</f>
        <v>0</v>
      </c>
      <c r="J17" s="35">
        <f>IF(G17&gt;0,VLOOKUP(A17,Wechsel!$A$11:$E$31,5),J16)</f>
        <v>0.66666666666666652</v>
      </c>
      <c r="K17" s="52">
        <f t="shared" si="9"/>
        <v>782.84814585280742</v>
      </c>
      <c r="L17" s="53">
        <f t="shared" si="10"/>
        <v>782.84814585280742</v>
      </c>
      <c r="M17" s="54">
        <f t="shared" si="4"/>
        <v>117783.51701689724</v>
      </c>
      <c r="N17" s="59">
        <f t="shared" si="5"/>
        <v>0.9</v>
      </c>
      <c r="O17" s="53">
        <f t="shared" si="11"/>
        <v>0</v>
      </c>
      <c r="P17" s="52">
        <f>MAX(P16-Eingabe!$E$28,0)</f>
        <v>0</v>
      </c>
      <c r="Q17" s="60">
        <f t="shared" si="6"/>
        <v>782.84814585280742</v>
      </c>
      <c r="R17" s="60">
        <f t="shared" si="7"/>
        <v>0</v>
      </c>
      <c r="S17" s="60">
        <f>Eingabe!$C$25+Eingabe!$E$25*'Berechnung EB 4%'!F17</f>
        <v>663.25264018955545</v>
      </c>
      <c r="T17" s="4">
        <f t="shared" si="8"/>
        <v>123404.42725186871</v>
      </c>
    </row>
    <row r="18" spans="1:20">
      <c r="A18" s="27">
        <v>8</v>
      </c>
      <c r="B18" s="3">
        <f t="shared" si="0"/>
        <v>0.01</v>
      </c>
      <c r="C18" s="40">
        <v>0</v>
      </c>
      <c r="D18" s="40">
        <f t="shared" si="1"/>
        <v>123404.42725186871</v>
      </c>
      <c r="E18" s="47">
        <f t="shared" si="2"/>
        <v>7404.2656351121223</v>
      </c>
      <c r="F18" s="47">
        <f t="shared" si="3"/>
        <v>130808.69288698083</v>
      </c>
      <c r="G18" s="27">
        <f>IF(VLOOKUP(A18,Wechsel!$A$11:$E$31,1)=A18,VLOOKUP(A18,Wechsel!$A$11:$E$31,1),0)</f>
        <v>0</v>
      </c>
      <c r="H18" s="35">
        <f>IF(G18&gt;0,VLOOKUP(A18,Wechsel!$A$11:$E$31,3),H17)</f>
        <v>0.33333333333333343</v>
      </c>
      <c r="I18" s="35">
        <f>IF(G18&gt;0,VLOOKUP(A18,Wechsel!$A$11:$E$31,4),I17)</f>
        <v>0</v>
      </c>
      <c r="J18" s="35">
        <f>IF(G18&gt;0,VLOOKUP(A18,Wechsel!$A$11:$E$31,5),J17)</f>
        <v>0.66666666666666652</v>
      </c>
      <c r="K18" s="52">
        <f t="shared" si="9"/>
        <v>820.20752572954518</v>
      </c>
      <c r="L18" s="53">
        <f t="shared" si="10"/>
        <v>1603.0556715823527</v>
      </c>
      <c r="M18" s="54">
        <f t="shared" si="4"/>
        <v>117783.51701689724</v>
      </c>
      <c r="N18" s="59">
        <f t="shared" si="5"/>
        <v>0.9</v>
      </c>
      <c r="O18" s="53">
        <f t="shared" si="11"/>
        <v>0</v>
      </c>
      <c r="P18" s="52">
        <f>MAX(P17-Eingabe!$E$28,0)</f>
        <v>0</v>
      </c>
      <c r="Q18" s="60">
        <f t="shared" si="6"/>
        <v>820.20752572954518</v>
      </c>
      <c r="R18" s="60">
        <f t="shared" si="7"/>
        <v>0</v>
      </c>
      <c r="S18" s="60">
        <f>Eingabe!$C$25+Eingabe!$E$25*'Berechnung EB 4%'!F18</f>
        <v>693.04346443490419</v>
      </c>
      <c r="T18" s="4">
        <f t="shared" si="8"/>
        <v>129295.44189681638</v>
      </c>
    </row>
    <row r="19" spans="1:20">
      <c r="A19" s="27">
        <v>9</v>
      </c>
      <c r="B19" s="3">
        <f t="shared" si="0"/>
        <v>0.01</v>
      </c>
      <c r="C19" s="40">
        <v>0</v>
      </c>
      <c r="D19" s="40">
        <f t="shared" si="1"/>
        <v>129295.44189681638</v>
      </c>
      <c r="E19" s="47">
        <f t="shared" si="2"/>
        <v>7757.7265138089824</v>
      </c>
      <c r="F19" s="47">
        <f t="shared" si="3"/>
        <v>137053.16841062537</v>
      </c>
      <c r="G19" s="27">
        <f>IF(VLOOKUP(A19,Wechsel!$A$11:$E$31,1)=A19,VLOOKUP(A19,Wechsel!$A$11:$E$31,1),0)</f>
        <v>9</v>
      </c>
      <c r="H19" s="35">
        <f>IF(G19&gt;0,VLOOKUP(A19,Wechsel!$A$11:$E$31,3),H18)</f>
        <v>0</v>
      </c>
      <c r="I19" s="35">
        <f>IF(G19&gt;0,VLOOKUP(A19,Wechsel!$A$11:$E$31,4),I18)</f>
        <v>0</v>
      </c>
      <c r="J19" s="35">
        <f>IF(G19&gt;0,VLOOKUP(A19,Wechsel!$A$11:$E$31,5),J18)</f>
        <v>1</v>
      </c>
      <c r="K19" s="52">
        <f t="shared" si="9"/>
        <v>954.8468384079888</v>
      </c>
      <c r="L19" s="53">
        <f t="shared" si="10"/>
        <v>2557.9025099903415</v>
      </c>
      <c r="M19" s="54">
        <f t="shared" si="4"/>
        <v>117783.51701689724</v>
      </c>
      <c r="N19" s="59">
        <f t="shared" si="5"/>
        <v>1</v>
      </c>
      <c r="O19" s="53">
        <f t="shared" si="11"/>
        <v>17342.686254355314</v>
      </c>
      <c r="P19" s="52">
        <f>MAX(P18-Eingabe!$E$28,0)</f>
        <v>0</v>
      </c>
      <c r="Q19" s="60">
        <f t="shared" si="6"/>
        <v>8086.8828479845433</v>
      </c>
      <c r="R19" s="60">
        <f>MAX(IF(G19&gt;0,(H19*$G$4+I19*$H$4+J19*$I$4)*(F19-Q19),0),0)</f>
        <v>1289.6628556264084</v>
      </c>
      <c r="S19" s="60">
        <f>Eingabe!$C$25+Eingabe!$E$25*'Berechnung EB 4%'!F19</f>
        <v>724.2658420531269</v>
      </c>
      <c r="T19" s="4">
        <f t="shared" si="8"/>
        <v>126952.3568649613</v>
      </c>
    </row>
    <row r="20" spans="1:20">
      <c r="A20" s="27">
        <v>10</v>
      </c>
      <c r="B20" s="3">
        <f t="shared" si="0"/>
        <v>0.01</v>
      </c>
      <c r="C20" s="40">
        <v>0</v>
      </c>
      <c r="D20" s="40">
        <f t="shared" si="1"/>
        <v>126952.3568649613</v>
      </c>
      <c r="E20" s="47">
        <f t="shared" si="2"/>
        <v>7617.1414118976782</v>
      </c>
      <c r="F20" s="47">
        <f t="shared" si="3"/>
        <v>134569.49827685897</v>
      </c>
      <c r="G20" s="27">
        <f>IF(VLOOKUP(A20,Wechsel!$A$11:$E$31,1)=A20,VLOOKUP(A20,Wechsel!$A$11:$E$31,1),0)</f>
        <v>0</v>
      </c>
      <c r="H20" s="35">
        <f>IF(G20&gt;0,VLOOKUP(A20,Wechsel!$A$11:$E$31,3),H19)</f>
        <v>0</v>
      </c>
      <c r="I20" s="35">
        <f>IF(G20&gt;0,VLOOKUP(A20,Wechsel!$A$11:$E$31,4),I19)</f>
        <v>0</v>
      </c>
      <c r="J20" s="35">
        <f>IF(G20&gt;0,VLOOKUP(A20,Wechsel!$A$11:$E$31,5),J19)</f>
        <v>1</v>
      </c>
      <c r="K20" s="52">
        <f t="shared" si="9"/>
        <v>937.5431554477392</v>
      </c>
      <c r="L20" s="53">
        <f t="shared" si="10"/>
        <v>937.5431554477392</v>
      </c>
      <c r="M20" s="54">
        <f t="shared" si="4"/>
        <v>126952.3568649613</v>
      </c>
      <c r="N20" s="59">
        <f t="shared" si="5"/>
        <v>1</v>
      </c>
      <c r="O20" s="53">
        <f t="shared" si="11"/>
        <v>0</v>
      </c>
      <c r="P20" s="52">
        <f>MAX(P19-Eingabe!$E$28,0)</f>
        <v>0</v>
      </c>
      <c r="Q20" s="60">
        <f t="shared" si="6"/>
        <v>937.5431554477392</v>
      </c>
      <c r="R20" s="60">
        <f t="shared" ref="R20:R60" si="12">MAX(IF(G20&gt;0,(H20*$G$4+I20*$H$4+J20*$I$4)*(F20-Q20),0),0)</f>
        <v>0</v>
      </c>
      <c r="S20" s="60">
        <f>Eingabe!$C$25+Eingabe!$E$25*'Berechnung EB 4%'!F20</f>
        <v>711.84749138429481</v>
      </c>
      <c r="T20" s="4">
        <f t="shared" si="8"/>
        <v>132920.10763002693</v>
      </c>
    </row>
    <row r="21" spans="1:20">
      <c r="A21" s="27">
        <v>11</v>
      </c>
      <c r="B21" s="3">
        <f t="shared" si="0"/>
        <v>0.01</v>
      </c>
      <c r="C21" s="40">
        <v>0</v>
      </c>
      <c r="D21" s="40">
        <f t="shared" si="1"/>
        <v>132920.10763002693</v>
      </c>
      <c r="E21" s="47">
        <f t="shared" si="2"/>
        <v>7975.2064578016161</v>
      </c>
      <c r="F21" s="47">
        <f t="shared" si="3"/>
        <v>140895.31408782856</v>
      </c>
      <c r="G21" s="27">
        <f>IF(VLOOKUP(A21,Wechsel!$A$11:$E$31,1)=A21,VLOOKUP(A21,Wechsel!$A$11:$E$31,1),0)</f>
        <v>0</v>
      </c>
      <c r="H21" s="35">
        <f>IF(G21&gt;0,VLOOKUP(A21,Wechsel!$A$11:$E$31,3),H20)</f>
        <v>0</v>
      </c>
      <c r="I21" s="35">
        <f>IF(G21&gt;0,VLOOKUP(A21,Wechsel!$A$11:$E$31,4),I20)</f>
        <v>0</v>
      </c>
      <c r="J21" s="35">
        <f>IF(G21&gt;0,VLOOKUP(A21,Wechsel!$A$11:$E$31,5),J20)</f>
        <v>1</v>
      </c>
      <c r="K21" s="52">
        <f t="shared" si="9"/>
        <v>981.61499484774879</v>
      </c>
      <c r="L21" s="53">
        <f t="shared" si="10"/>
        <v>1919.158150295488</v>
      </c>
      <c r="M21" s="54">
        <f t="shared" si="4"/>
        <v>126952.3568649613</v>
      </c>
      <c r="N21" s="59">
        <f t="shared" si="5"/>
        <v>1</v>
      </c>
      <c r="O21" s="53">
        <f t="shared" si="11"/>
        <v>0</v>
      </c>
      <c r="P21" s="52">
        <f>MAX(P20-Eingabe!$E$28,0)</f>
        <v>0</v>
      </c>
      <c r="Q21" s="60">
        <f t="shared" si="6"/>
        <v>981.61499484774879</v>
      </c>
      <c r="R21" s="60">
        <f t="shared" si="12"/>
        <v>0</v>
      </c>
      <c r="S21" s="60">
        <f>Eingabe!$C$25+Eingabe!$E$25*'Berechnung EB 4%'!F21</f>
        <v>743.47657043914285</v>
      </c>
      <c r="T21" s="4">
        <f t="shared" si="8"/>
        <v>139170.22252254168</v>
      </c>
    </row>
    <row r="22" spans="1:20">
      <c r="A22" s="27">
        <v>12</v>
      </c>
      <c r="B22" s="3">
        <f t="shared" si="0"/>
        <v>0.01</v>
      </c>
      <c r="C22" s="40">
        <v>0</v>
      </c>
      <c r="D22" s="40">
        <f t="shared" si="1"/>
        <v>139170.22252254168</v>
      </c>
      <c r="E22" s="47">
        <f t="shared" si="2"/>
        <v>8350.2133513525005</v>
      </c>
      <c r="F22" s="47">
        <f t="shared" si="3"/>
        <v>147520.43587389417</v>
      </c>
      <c r="G22" s="27">
        <f>IF(VLOOKUP(A22,Wechsel!$A$11:$E$31,1)=A22,VLOOKUP(A22,Wechsel!$A$11:$E$31,1),0)</f>
        <v>0</v>
      </c>
      <c r="H22" s="35">
        <f>IF(G22&gt;0,VLOOKUP(A22,Wechsel!$A$11:$E$31,3),H21)</f>
        <v>0</v>
      </c>
      <c r="I22" s="35">
        <f>IF(G22&gt;0,VLOOKUP(A22,Wechsel!$A$11:$E$31,4),I21)</f>
        <v>0</v>
      </c>
      <c r="J22" s="35">
        <f>IF(G22&gt;0,VLOOKUP(A22,Wechsel!$A$11:$E$31,5),J21)</f>
        <v>1</v>
      </c>
      <c r="K22" s="52">
        <f t="shared" si="9"/>
        <v>1027.7720933289702</v>
      </c>
      <c r="L22" s="53">
        <f t="shared" si="10"/>
        <v>2946.9302436244579</v>
      </c>
      <c r="M22" s="54">
        <f t="shared" si="4"/>
        <v>126952.3568649613</v>
      </c>
      <c r="N22" s="59">
        <f t="shared" si="5"/>
        <v>1</v>
      </c>
      <c r="O22" s="53">
        <f t="shared" si="11"/>
        <v>0</v>
      </c>
      <c r="P22" s="52">
        <f>MAX(P21-Eingabe!$E$28,0)</f>
        <v>0</v>
      </c>
      <c r="Q22" s="60">
        <f t="shared" si="6"/>
        <v>1027.7720933289702</v>
      </c>
      <c r="R22" s="60">
        <f t="shared" si="12"/>
        <v>0</v>
      </c>
      <c r="S22" s="60">
        <f>Eingabe!$C$25+Eingabe!$E$25*'Berechnung EB 4%'!F22</f>
        <v>776.60217936947083</v>
      </c>
      <c r="T22" s="4">
        <f t="shared" si="8"/>
        <v>145716.06160119572</v>
      </c>
    </row>
    <row r="23" spans="1:20">
      <c r="A23" s="27">
        <v>13</v>
      </c>
      <c r="B23" s="3">
        <f t="shared" si="0"/>
        <v>0.01</v>
      </c>
      <c r="C23" s="40">
        <v>0</v>
      </c>
      <c r="D23" s="40">
        <f t="shared" si="1"/>
        <v>0</v>
      </c>
      <c r="E23" s="47">
        <f t="shared" si="2"/>
        <v>0</v>
      </c>
      <c r="F23" s="47">
        <f t="shared" si="3"/>
        <v>0</v>
      </c>
      <c r="G23" s="27">
        <f>IF(VLOOKUP(A23,Wechsel!$A$11:$E$31,1)=A23,VLOOKUP(A23,Wechsel!$A$11:$E$31,1),0)</f>
        <v>0</v>
      </c>
      <c r="H23" s="35">
        <f>IF(G23&gt;0,VLOOKUP(A23,Wechsel!$A$11:$E$31,3),H22)</f>
        <v>0</v>
      </c>
      <c r="I23" s="35">
        <f>IF(G23&gt;0,VLOOKUP(A23,Wechsel!$A$11:$E$31,4),I22)</f>
        <v>0</v>
      </c>
      <c r="J23" s="35">
        <f>IF(G23&gt;0,VLOOKUP(A23,Wechsel!$A$11:$E$31,5),J22)</f>
        <v>1</v>
      </c>
      <c r="K23" s="52">
        <f t="shared" si="9"/>
        <v>0</v>
      </c>
      <c r="L23" s="53">
        <f t="shared" si="10"/>
        <v>2946.9302436244579</v>
      </c>
      <c r="M23" s="54">
        <f t="shared" si="4"/>
        <v>0</v>
      </c>
      <c r="N23" s="59">
        <f t="shared" si="5"/>
        <v>1</v>
      </c>
      <c r="O23" s="53">
        <f t="shared" si="11"/>
        <v>0</v>
      </c>
      <c r="P23" s="52">
        <f>MAX(P22-Eingabe!$E$28,0)</f>
        <v>0</v>
      </c>
      <c r="Q23" s="60">
        <f t="shared" si="6"/>
        <v>0</v>
      </c>
      <c r="R23" s="60">
        <f t="shared" si="12"/>
        <v>0</v>
      </c>
      <c r="S23" s="60">
        <f>Eingabe!$C$25+Eingabe!$E$25*'Berechnung EB 4%'!F23</f>
        <v>39</v>
      </c>
      <c r="T23" s="4">
        <f t="shared" si="8"/>
        <v>-39</v>
      </c>
    </row>
    <row r="24" spans="1:20">
      <c r="A24" s="27">
        <v>14</v>
      </c>
      <c r="B24" s="3">
        <f t="shared" si="0"/>
        <v>0.01</v>
      </c>
      <c r="C24" s="40">
        <v>0</v>
      </c>
      <c r="D24" s="40">
        <f t="shared" si="1"/>
        <v>0</v>
      </c>
      <c r="E24" s="47">
        <f t="shared" si="2"/>
        <v>0</v>
      </c>
      <c r="F24" s="47">
        <f t="shared" si="3"/>
        <v>0</v>
      </c>
      <c r="G24" s="27">
        <f>IF(VLOOKUP(A24,Wechsel!$A$11:$E$31,1)=A24,VLOOKUP(A24,Wechsel!$A$11:$E$31,1),0)</f>
        <v>0</v>
      </c>
      <c r="H24" s="35">
        <f>IF(G24&gt;0,VLOOKUP(A24,Wechsel!$A$11:$E$31,3),H23)</f>
        <v>0</v>
      </c>
      <c r="I24" s="35">
        <f>IF(G24&gt;0,VLOOKUP(A24,Wechsel!$A$11:$E$31,4),I23)</f>
        <v>0</v>
      </c>
      <c r="J24" s="35">
        <f>IF(G24&gt;0,VLOOKUP(A24,Wechsel!$A$11:$E$31,5),J23)</f>
        <v>1</v>
      </c>
      <c r="K24" s="52">
        <f t="shared" si="9"/>
        <v>0</v>
      </c>
      <c r="L24" s="53">
        <f t="shared" si="10"/>
        <v>2946.9302436244579</v>
      </c>
      <c r="M24" s="54">
        <f t="shared" si="4"/>
        <v>0</v>
      </c>
      <c r="N24" s="59">
        <f t="shared" si="5"/>
        <v>1</v>
      </c>
      <c r="O24" s="53">
        <f t="shared" si="11"/>
        <v>0</v>
      </c>
      <c r="P24" s="52">
        <f>MAX(P23-Eingabe!$E$28,0)</f>
        <v>0</v>
      </c>
      <c r="Q24" s="60">
        <f t="shared" si="6"/>
        <v>0</v>
      </c>
      <c r="R24" s="60">
        <f t="shared" si="12"/>
        <v>0</v>
      </c>
      <c r="S24" s="60">
        <f>Eingabe!$C$25+Eingabe!$E$25*'Berechnung EB 4%'!F24</f>
        <v>39</v>
      </c>
      <c r="T24" s="4">
        <f t="shared" si="8"/>
        <v>-39</v>
      </c>
    </row>
    <row r="25" spans="1:20">
      <c r="A25" s="27">
        <v>15</v>
      </c>
      <c r="B25" s="3">
        <f t="shared" si="0"/>
        <v>0.01</v>
      </c>
      <c r="C25" s="40">
        <v>0</v>
      </c>
      <c r="D25" s="40">
        <f t="shared" si="1"/>
        <v>0</v>
      </c>
      <c r="E25" s="47">
        <f t="shared" si="2"/>
        <v>0</v>
      </c>
      <c r="F25" s="47">
        <f t="shared" si="3"/>
        <v>0</v>
      </c>
      <c r="G25" s="27">
        <f>IF(VLOOKUP(A25,Wechsel!$A$11:$E$31,1)=A25,VLOOKUP(A25,Wechsel!$A$11:$E$31,1),0)</f>
        <v>0</v>
      </c>
      <c r="H25" s="35">
        <f>IF(G25&gt;0,VLOOKUP(A25,Wechsel!$A$11:$E$31,3),H24)</f>
        <v>0</v>
      </c>
      <c r="I25" s="35">
        <f>IF(G25&gt;0,VLOOKUP(A25,Wechsel!$A$11:$E$31,4),I24)</f>
        <v>0</v>
      </c>
      <c r="J25" s="35">
        <f>IF(G25&gt;0,VLOOKUP(A25,Wechsel!$A$11:$E$31,5),J24)</f>
        <v>1</v>
      </c>
      <c r="K25" s="52">
        <f t="shared" si="9"/>
        <v>0</v>
      </c>
      <c r="L25" s="53">
        <f t="shared" si="10"/>
        <v>2946.9302436244579</v>
      </c>
      <c r="M25" s="54">
        <f t="shared" si="4"/>
        <v>0</v>
      </c>
      <c r="N25" s="59">
        <f t="shared" si="5"/>
        <v>1</v>
      </c>
      <c r="O25" s="53">
        <f t="shared" si="11"/>
        <v>0</v>
      </c>
      <c r="P25" s="52">
        <f>MAX(P24-Eingabe!$E$28,0)</f>
        <v>0</v>
      </c>
      <c r="Q25" s="60">
        <f t="shared" si="6"/>
        <v>0</v>
      </c>
      <c r="R25" s="60">
        <f t="shared" si="12"/>
        <v>0</v>
      </c>
      <c r="S25" s="60">
        <f>Eingabe!$C$25+Eingabe!$E$25*'Berechnung EB 4%'!F25</f>
        <v>39</v>
      </c>
      <c r="T25" s="4">
        <f t="shared" si="8"/>
        <v>-39</v>
      </c>
    </row>
    <row r="26" spans="1:20">
      <c r="A26" s="27">
        <v>16</v>
      </c>
      <c r="B26" s="3">
        <f t="shared" si="0"/>
        <v>0.01</v>
      </c>
      <c r="C26" s="40">
        <v>0</v>
      </c>
      <c r="D26" s="40">
        <f t="shared" si="1"/>
        <v>0</v>
      </c>
      <c r="E26" s="47">
        <f t="shared" si="2"/>
        <v>0</v>
      </c>
      <c r="F26" s="47">
        <f t="shared" si="3"/>
        <v>0</v>
      </c>
      <c r="G26" s="27">
        <f>IF(VLOOKUP(A26,Wechsel!$A$11:$E$31,1)=A26,VLOOKUP(A26,Wechsel!$A$11:$E$31,1),0)</f>
        <v>0</v>
      </c>
      <c r="H26" s="35">
        <f>IF(G26&gt;0,VLOOKUP(A26,Wechsel!$A$11:$E$31,3),H25)</f>
        <v>0</v>
      </c>
      <c r="I26" s="35">
        <f>IF(G26&gt;0,VLOOKUP(A26,Wechsel!$A$11:$E$31,4),I25)</f>
        <v>0</v>
      </c>
      <c r="J26" s="35">
        <f>IF(G26&gt;0,VLOOKUP(A26,Wechsel!$A$11:$E$31,5),J25)</f>
        <v>1</v>
      </c>
      <c r="K26" s="52">
        <f t="shared" si="9"/>
        <v>0</v>
      </c>
      <c r="L26" s="53">
        <f t="shared" si="10"/>
        <v>2946.9302436244579</v>
      </c>
      <c r="M26" s="54">
        <f t="shared" si="4"/>
        <v>0</v>
      </c>
      <c r="N26" s="59">
        <f t="shared" si="5"/>
        <v>1</v>
      </c>
      <c r="O26" s="53">
        <f t="shared" si="11"/>
        <v>0</v>
      </c>
      <c r="P26" s="52">
        <f>MAX(P25-Eingabe!$E$28,0)</f>
        <v>0</v>
      </c>
      <c r="Q26" s="60">
        <f t="shared" si="6"/>
        <v>0</v>
      </c>
      <c r="R26" s="60">
        <f t="shared" si="12"/>
        <v>0</v>
      </c>
      <c r="S26" s="60">
        <f>Eingabe!$C$25+Eingabe!$E$25*'Berechnung EB 4%'!F26</f>
        <v>39</v>
      </c>
      <c r="T26" s="4">
        <f t="shared" si="8"/>
        <v>-39</v>
      </c>
    </row>
    <row r="27" spans="1:20">
      <c r="A27" s="27">
        <v>17</v>
      </c>
      <c r="B27" s="3">
        <f t="shared" si="0"/>
        <v>0.01</v>
      </c>
      <c r="C27" s="40">
        <v>0</v>
      </c>
      <c r="D27" s="40">
        <f t="shared" si="1"/>
        <v>0</v>
      </c>
      <c r="E27" s="47">
        <f t="shared" si="2"/>
        <v>0</v>
      </c>
      <c r="F27" s="47">
        <f t="shared" si="3"/>
        <v>0</v>
      </c>
      <c r="G27" s="27">
        <f>IF(VLOOKUP(A27,Wechsel!$A$11:$E$31,1)=A27,VLOOKUP(A27,Wechsel!$A$11:$E$31,1),0)</f>
        <v>0</v>
      </c>
      <c r="H27" s="35">
        <f>IF(G27&gt;0,VLOOKUP(A27,Wechsel!$A$11:$E$31,3),H26)</f>
        <v>0</v>
      </c>
      <c r="I27" s="35">
        <f>IF(G27&gt;0,VLOOKUP(A27,Wechsel!$A$11:$E$31,4),I26)</f>
        <v>0</v>
      </c>
      <c r="J27" s="35">
        <f>IF(G27&gt;0,VLOOKUP(A27,Wechsel!$A$11:$E$31,5),J26)</f>
        <v>1</v>
      </c>
      <c r="K27" s="52">
        <f t="shared" si="9"/>
        <v>0</v>
      </c>
      <c r="L27" s="53">
        <f t="shared" si="10"/>
        <v>2946.9302436244579</v>
      </c>
      <c r="M27" s="54">
        <f t="shared" si="4"/>
        <v>0</v>
      </c>
      <c r="N27" s="59">
        <f t="shared" si="5"/>
        <v>1</v>
      </c>
      <c r="O27" s="53">
        <f t="shared" si="11"/>
        <v>0</v>
      </c>
      <c r="P27" s="52">
        <f>MAX(P26-Eingabe!$E$28,0)</f>
        <v>0</v>
      </c>
      <c r="Q27" s="60">
        <f t="shared" si="6"/>
        <v>0</v>
      </c>
      <c r="R27" s="60">
        <f t="shared" si="12"/>
        <v>0</v>
      </c>
      <c r="S27" s="60">
        <f>Eingabe!$C$25+Eingabe!$E$25*'Berechnung EB 4%'!F27</f>
        <v>39</v>
      </c>
      <c r="T27" s="4">
        <f t="shared" si="8"/>
        <v>-39</v>
      </c>
    </row>
    <row r="28" spans="1:20">
      <c r="A28" s="27">
        <v>18</v>
      </c>
      <c r="B28" s="3">
        <f t="shared" si="0"/>
        <v>0.01</v>
      </c>
      <c r="C28" s="40">
        <v>0</v>
      </c>
      <c r="D28" s="40">
        <f t="shared" si="1"/>
        <v>0</v>
      </c>
      <c r="E28" s="47">
        <f t="shared" si="2"/>
        <v>0</v>
      </c>
      <c r="F28" s="47">
        <f t="shared" si="3"/>
        <v>0</v>
      </c>
      <c r="G28" s="27">
        <f>IF(VLOOKUP(A28,Wechsel!$A$11:$E$31,1)=A28,VLOOKUP(A28,Wechsel!$A$11:$E$31,1),0)</f>
        <v>0</v>
      </c>
      <c r="H28" s="35">
        <f>IF(G28&gt;0,VLOOKUP(A28,Wechsel!$A$11:$E$31,3),H27)</f>
        <v>0</v>
      </c>
      <c r="I28" s="35">
        <f>IF(G28&gt;0,VLOOKUP(A28,Wechsel!$A$11:$E$31,4),I27)</f>
        <v>0</v>
      </c>
      <c r="J28" s="35">
        <f>IF(G28&gt;0,VLOOKUP(A28,Wechsel!$A$11:$E$31,5),J27)</f>
        <v>1</v>
      </c>
      <c r="K28" s="52">
        <f t="shared" si="9"/>
        <v>0</v>
      </c>
      <c r="L28" s="53">
        <f t="shared" si="10"/>
        <v>2946.9302436244579</v>
      </c>
      <c r="M28" s="54">
        <f t="shared" si="4"/>
        <v>0</v>
      </c>
      <c r="N28" s="59">
        <f t="shared" si="5"/>
        <v>1</v>
      </c>
      <c r="O28" s="53">
        <f t="shared" si="11"/>
        <v>0</v>
      </c>
      <c r="P28" s="52">
        <f>MAX(P27-Eingabe!$E$28,0)</f>
        <v>0</v>
      </c>
      <c r="Q28" s="60">
        <f t="shared" si="6"/>
        <v>0</v>
      </c>
      <c r="R28" s="60">
        <f t="shared" si="12"/>
        <v>0</v>
      </c>
      <c r="S28" s="60">
        <f>Eingabe!$C$25+Eingabe!$E$25*'Berechnung EB 4%'!F28</f>
        <v>39</v>
      </c>
      <c r="T28" s="4">
        <f t="shared" si="8"/>
        <v>-39</v>
      </c>
    </row>
    <row r="29" spans="1:20">
      <c r="A29" s="27">
        <v>19</v>
      </c>
      <c r="B29" s="3">
        <f t="shared" si="0"/>
        <v>0.01</v>
      </c>
      <c r="C29" s="40">
        <v>0</v>
      </c>
      <c r="D29" s="40">
        <f t="shared" si="1"/>
        <v>0</v>
      </c>
      <c r="E29" s="47">
        <f t="shared" si="2"/>
        <v>0</v>
      </c>
      <c r="F29" s="47">
        <f t="shared" si="3"/>
        <v>0</v>
      </c>
      <c r="G29" s="27">
        <f>IF(VLOOKUP(A29,Wechsel!$A$11:$E$31,1)=A29,VLOOKUP(A29,Wechsel!$A$11:$E$31,1),0)</f>
        <v>0</v>
      </c>
      <c r="H29" s="35">
        <f>IF(G29&gt;0,VLOOKUP(A29,Wechsel!$A$11:$E$31,3),H28)</f>
        <v>0</v>
      </c>
      <c r="I29" s="35">
        <f>IF(G29&gt;0,VLOOKUP(A29,Wechsel!$A$11:$E$31,4),I28)</f>
        <v>0</v>
      </c>
      <c r="J29" s="35">
        <f>IF(G29&gt;0,VLOOKUP(A29,Wechsel!$A$11:$E$31,5),J28)</f>
        <v>1</v>
      </c>
      <c r="K29" s="52">
        <f t="shared" si="9"/>
        <v>0</v>
      </c>
      <c r="L29" s="53">
        <f t="shared" si="10"/>
        <v>2946.9302436244579</v>
      </c>
      <c r="M29" s="54">
        <f t="shared" si="4"/>
        <v>0</v>
      </c>
      <c r="N29" s="59">
        <f t="shared" si="5"/>
        <v>1</v>
      </c>
      <c r="O29" s="53">
        <f t="shared" si="11"/>
        <v>0</v>
      </c>
      <c r="P29" s="52">
        <f>MAX(P28-Eingabe!$E$28,0)</f>
        <v>0</v>
      </c>
      <c r="Q29" s="60">
        <f t="shared" si="6"/>
        <v>0</v>
      </c>
      <c r="R29" s="60">
        <f t="shared" si="12"/>
        <v>0</v>
      </c>
      <c r="S29" s="60">
        <f>Eingabe!$C$25+Eingabe!$E$25*'Berechnung EB 4%'!F29</f>
        <v>39</v>
      </c>
      <c r="T29" s="4">
        <f t="shared" si="8"/>
        <v>-39</v>
      </c>
    </row>
    <row r="30" spans="1:20">
      <c r="A30" s="27">
        <v>20</v>
      </c>
      <c r="B30" s="3">
        <f t="shared" si="0"/>
        <v>0.01</v>
      </c>
      <c r="C30" s="40">
        <v>0</v>
      </c>
      <c r="D30" s="40">
        <f t="shared" si="1"/>
        <v>0</v>
      </c>
      <c r="E30" s="47">
        <f t="shared" si="2"/>
        <v>0</v>
      </c>
      <c r="F30" s="47">
        <f t="shared" si="3"/>
        <v>0</v>
      </c>
      <c r="G30" s="27">
        <f>IF(VLOOKUP(A30,Wechsel!$A$11:$E$31,1)=A30,VLOOKUP(A30,Wechsel!$A$11:$E$31,1),0)</f>
        <v>0</v>
      </c>
      <c r="H30" s="35">
        <f>IF(G30&gt;0,VLOOKUP(A30,Wechsel!$A$11:$E$31,3),H29)</f>
        <v>0</v>
      </c>
      <c r="I30" s="35">
        <f>IF(G30&gt;0,VLOOKUP(A30,Wechsel!$A$11:$E$31,4),I29)</f>
        <v>0</v>
      </c>
      <c r="J30" s="35">
        <f>IF(G30&gt;0,VLOOKUP(A30,Wechsel!$A$11:$E$31,5),J29)</f>
        <v>1</v>
      </c>
      <c r="K30" s="52">
        <f t="shared" si="9"/>
        <v>0</v>
      </c>
      <c r="L30" s="53">
        <f t="shared" si="10"/>
        <v>2946.9302436244579</v>
      </c>
      <c r="M30" s="54">
        <f t="shared" si="4"/>
        <v>0</v>
      </c>
      <c r="N30" s="59">
        <f t="shared" si="5"/>
        <v>1</v>
      </c>
      <c r="O30" s="53">
        <f t="shared" si="11"/>
        <v>0</v>
      </c>
      <c r="P30" s="52">
        <f>MAX(P29-Eingabe!$E$28,0)</f>
        <v>0</v>
      </c>
      <c r="Q30" s="60">
        <f t="shared" si="6"/>
        <v>0</v>
      </c>
      <c r="R30" s="60">
        <f t="shared" si="12"/>
        <v>0</v>
      </c>
      <c r="S30" s="60">
        <f>Eingabe!$C$25+Eingabe!$E$25*'Berechnung EB 4%'!F30</f>
        <v>39</v>
      </c>
      <c r="T30" s="4">
        <f t="shared" si="8"/>
        <v>-39</v>
      </c>
    </row>
    <row r="31" spans="1:20">
      <c r="A31" s="27">
        <v>21</v>
      </c>
      <c r="B31" s="3">
        <f t="shared" si="0"/>
        <v>0.01</v>
      </c>
      <c r="C31" s="40">
        <v>0</v>
      </c>
      <c r="D31" s="40">
        <f t="shared" si="1"/>
        <v>0</v>
      </c>
      <c r="E31" s="47">
        <f t="shared" si="2"/>
        <v>0</v>
      </c>
      <c r="F31" s="47">
        <f t="shared" si="3"/>
        <v>0</v>
      </c>
      <c r="G31" s="27">
        <f>IF(VLOOKUP(A31,Wechsel!$A$11:$E$31,1)=A31,VLOOKUP(A31,Wechsel!$A$11:$E$31,1),0)</f>
        <v>0</v>
      </c>
      <c r="H31" s="35">
        <f>IF(G31&gt;0,VLOOKUP(A31,Wechsel!$A$11:$E$31,3),H30)</f>
        <v>0</v>
      </c>
      <c r="I31" s="35">
        <f>IF(G31&gt;0,VLOOKUP(A31,Wechsel!$A$11:$E$31,4),I30)</f>
        <v>0</v>
      </c>
      <c r="J31" s="35">
        <f>IF(G31&gt;0,VLOOKUP(A31,Wechsel!$A$11:$E$31,5),J30)</f>
        <v>1</v>
      </c>
      <c r="K31" s="52">
        <f t="shared" si="9"/>
        <v>0</v>
      </c>
      <c r="L31" s="53">
        <f t="shared" si="10"/>
        <v>2946.9302436244579</v>
      </c>
      <c r="M31" s="54">
        <f t="shared" si="4"/>
        <v>0</v>
      </c>
      <c r="N31" s="59">
        <f t="shared" si="5"/>
        <v>1</v>
      </c>
      <c r="O31" s="53">
        <f t="shared" si="11"/>
        <v>0</v>
      </c>
      <c r="P31" s="52">
        <f>MAX(P30-Eingabe!$E$28,0)</f>
        <v>0</v>
      </c>
      <c r="Q31" s="60">
        <f t="shared" si="6"/>
        <v>0</v>
      </c>
      <c r="R31" s="60">
        <f t="shared" si="12"/>
        <v>0</v>
      </c>
      <c r="S31" s="60">
        <f>Eingabe!$C$25+Eingabe!$E$25*'Berechnung EB 4%'!F31</f>
        <v>39</v>
      </c>
      <c r="T31" s="4">
        <f t="shared" si="8"/>
        <v>-39</v>
      </c>
    </row>
    <row r="32" spans="1:20">
      <c r="A32" s="27">
        <v>22</v>
      </c>
      <c r="B32" s="3">
        <f t="shared" si="0"/>
        <v>0.01</v>
      </c>
      <c r="C32" s="40">
        <v>0</v>
      </c>
      <c r="D32" s="40">
        <f t="shared" si="1"/>
        <v>0</v>
      </c>
      <c r="E32" s="47">
        <f t="shared" si="2"/>
        <v>0</v>
      </c>
      <c r="F32" s="47">
        <f t="shared" si="3"/>
        <v>0</v>
      </c>
      <c r="G32" s="27">
        <f>IF(VLOOKUP(A32,Wechsel!$A$11:$E$31,1)=A32,VLOOKUP(A32,Wechsel!$A$11:$E$31,1),0)</f>
        <v>0</v>
      </c>
      <c r="H32" s="35">
        <f>IF(G32&gt;0,VLOOKUP(A32,Wechsel!$A$11:$E$31,3),H31)</f>
        <v>0</v>
      </c>
      <c r="I32" s="35">
        <f>IF(G32&gt;0,VLOOKUP(A32,Wechsel!$A$11:$E$31,4),I31)</f>
        <v>0</v>
      </c>
      <c r="J32" s="35">
        <f>IF(G32&gt;0,VLOOKUP(A32,Wechsel!$A$11:$E$31,5),J31)</f>
        <v>1</v>
      </c>
      <c r="K32" s="52">
        <f t="shared" si="9"/>
        <v>0</v>
      </c>
      <c r="L32" s="53">
        <f t="shared" si="10"/>
        <v>2946.9302436244579</v>
      </c>
      <c r="M32" s="54">
        <f t="shared" si="4"/>
        <v>0</v>
      </c>
      <c r="N32" s="59">
        <f t="shared" si="5"/>
        <v>1</v>
      </c>
      <c r="O32" s="53">
        <f t="shared" si="11"/>
        <v>0</v>
      </c>
      <c r="P32" s="52">
        <f>MAX(P31-Eingabe!$E$28,0)</f>
        <v>0</v>
      </c>
      <c r="Q32" s="60">
        <f t="shared" si="6"/>
        <v>0</v>
      </c>
      <c r="R32" s="60">
        <f t="shared" si="12"/>
        <v>0</v>
      </c>
      <c r="S32" s="60">
        <f>Eingabe!$C$25+Eingabe!$E$25*'Berechnung EB 4%'!F32</f>
        <v>39</v>
      </c>
      <c r="T32" s="4">
        <f t="shared" si="8"/>
        <v>-39</v>
      </c>
    </row>
    <row r="33" spans="1:20">
      <c r="A33" s="27">
        <v>23</v>
      </c>
      <c r="B33" s="3">
        <f t="shared" si="0"/>
        <v>0.01</v>
      </c>
      <c r="C33" s="40">
        <v>0</v>
      </c>
      <c r="D33" s="40">
        <f t="shared" si="1"/>
        <v>0</v>
      </c>
      <c r="E33" s="47">
        <f t="shared" si="2"/>
        <v>0</v>
      </c>
      <c r="F33" s="47">
        <f t="shared" si="3"/>
        <v>0</v>
      </c>
      <c r="G33" s="27">
        <f>IF(VLOOKUP(A33,Wechsel!$A$11:$E$31,1)=A33,VLOOKUP(A33,Wechsel!$A$11:$E$31,1),0)</f>
        <v>0</v>
      </c>
      <c r="H33" s="35">
        <f>IF(G33&gt;0,VLOOKUP(A33,Wechsel!$A$11:$E$31,3),H32)</f>
        <v>0</v>
      </c>
      <c r="I33" s="35">
        <f>IF(G33&gt;0,VLOOKUP(A33,Wechsel!$A$11:$E$31,4),I32)</f>
        <v>0</v>
      </c>
      <c r="J33" s="35">
        <f>IF(G33&gt;0,VLOOKUP(A33,Wechsel!$A$11:$E$31,5),J32)</f>
        <v>1</v>
      </c>
      <c r="K33" s="52">
        <f t="shared" si="9"/>
        <v>0</v>
      </c>
      <c r="L33" s="53">
        <f t="shared" si="10"/>
        <v>2946.9302436244579</v>
      </c>
      <c r="M33" s="54">
        <f t="shared" si="4"/>
        <v>0</v>
      </c>
      <c r="N33" s="59">
        <f t="shared" si="5"/>
        <v>1</v>
      </c>
      <c r="O33" s="53">
        <f t="shared" si="11"/>
        <v>0</v>
      </c>
      <c r="P33" s="52">
        <f>MAX(P32-Eingabe!$E$28,0)</f>
        <v>0</v>
      </c>
      <c r="Q33" s="60">
        <f t="shared" si="6"/>
        <v>0</v>
      </c>
      <c r="R33" s="60">
        <f t="shared" si="12"/>
        <v>0</v>
      </c>
      <c r="S33" s="60">
        <f>Eingabe!$C$25+Eingabe!$E$25*'Berechnung EB 4%'!F33</f>
        <v>39</v>
      </c>
      <c r="T33" s="4">
        <f t="shared" si="8"/>
        <v>-39</v>
      </c>
    </row>
    <row r="34" spans="1:20">
      <c r="A34" s="27">
        <v>24</v>
      </c>
      <c r="B34" s="3">
        <f t="shared" si="0"/>
        <v>0.01</v>
      </c>
      <c r="C34" s="40">
        <v>0</v>
      </c>
      <c r="D34" s="40">
        <f t="shared" si="1"/>
        <v>0</v>
      </c>
      <c r="E34" s="47">
        <f t="shared" si="2"/>
        <v>0</v>
      </c>
      <c r="F34" s="47">
        <f t="shared" si="3"/>
        <v>0</v>
      </c>
      <c r="G34" s="27">
        <f>IF(VLOOKUP(A34,Wechsel!$A$11:$E$31,1)=A34,VLOOKUP(A34,Wechsel!$A$11:$E$31,1),0)</f>
        <v>0</v>
      </c>
      <c r="H34" s="35">
        <f>IF(G34&gt;0,VLOOKUP(A34,Wechsel!$A$11:$E$31,3),H33)</f>
        <v>0</v>
      </c>
      <c r="I34" s="35">
        <f>IF(G34&gt;0,VLOOKUP(A34,Wechsel!$A$11:$E$31,4),I33)</f>
        <v>0</v>
      </c>
      <c r="J34" s="35">
        <f>IF(G34&gt;0,VLOOKUP(A34,Wechsel!$A$11:$E$31,5),J33)</f>
        <v>1</v>
      </c>
      <c r="K34" s="52">
        <f t="shared" si="9"/>
        <v>0</v>
      </c>
      <c r="L34" s="53">
        <f t="shared" si="10"/>
        <v>2946.9302436244579</v>
      </c>
      <c r="M34" s="54">
        <f t="shared" si="4"/>
        <v>0</v>
      </c>
      <c r="N34" s="59">
        <f t="shared" si="5"/>
        <v>1</v>
      </c>
      <c r="O34" s="53">
        <f t="shared" si="11"/>
        <v>0</v>
      </c>
      <c r="P34" s="52">
        <f>MAX(P33-Eingabe!$E$28,0)</f>
        <v>0</v>
      </c>
      <c r="Q34" s="60">
        <f t="shared" si="6"/>
        <v>0</v>
      </c>
      <c r="R34" s="60">
        <f t="shared" si="12"/>
        <v>0</v>
      </c>
      <c r="S34" s="60">
        <f>Eingabe!$C$25+Eingabe!$E$25*'Berechnung EB 4%'!F34</f>
        <v>39</v>
      </c>
      <c r="T34" s="4">
        <f t="shared" si="8"/>
        <v>-39</v>
      </c>
    </row>
    <row r="35" spans="1:20">
      <c r="A35" s="27">
        <v>25</v>
      </c>
      <c r="B35" s="3">
        <f t="shared" si="0"/>
        <v>0.01</v>
      </c>
      <c r="C35" s="40">
        <v>0</v>
      </c>
      <c r="D35" s="40">
        <f t="shared" si="1"/>
        <v>0</v>
      </c>
      <c r="E35" s="47">
        <f t="shared" si="2"/>
        <v>0</v>
      </c>
      <c r="F35" s="47">
        <f t="shared" si="3"/>
        <v>0</v>
      </c>
      <c r="G35" s="27">
        <f>IF(VLOOKUP(A35,Wechsel!$A$11:$E$31,1)=A35,VLOOKUP(A35,Wechsel!$A$11:$E$31,1),0)</f>
        <v>0</v>
      </c>
      <c r="H35" s="35">
        <f>IF(G35&gt;0,VLOOKUP(A35,Wechsel!$A$11:$E$31,3),H34)</f>
        <v>0</v>
      </c>
      <c r="I35" s="35">
        <f>IF(G35&gt;0,VLOOKUP(A35,Wechsel!$A$11:$E$31,4),I34)</f>
        <v>0</v>
      </c>
      <c r="J35" s="35">
        <f>IF(G35&gt;0,VLOOKUP(A35,Wechsel!$A$11:$E$31,5),J34)</f>
        <v>1</v>
      </c>
      <c r="K35" s="52">
        <f t="shared" si="9"/>
        <v>0</v>
      </c>
      <c r="L35" s="53">
        <f t="shared" si="10"/>
        <v>2946.9302436244579</v>
      </c>
      <c r="M35" s="54">
        <f t="shared" si="4"/>
        <v>0</v>
      </c>
      <c r="N35" s="59">
        <f t="shared" si="5"/>
        <v>1</v>
      </c>
      <c r="O35" s="53">
        <f t="shared" si="11"/>
        <v>0</v>
      </c>
      <c r="P35" s="52">
        <f>MAX(P34-Eingabe!$E$28,0)</f>
        <v>0</v>
      </c>
      <c r="Q35" s="60">
        <f t="shared" si="6"/>
        <v>0</v>
      </c>
      <c r="R35" s="60">
        <f t="shared" si="12"/>
        <v>0</v>
      </c>
      <c r="S35" s="60">
        <f>Eingabe!$C$25+Eingabe!$E$25*'Berechnung EB 4%'!F35</f>
        <v>39</v>
      </c>
      <c r="T35" s="4">
        <f t="shared" si="8"/>
        <v>-39</v>
      </c>
    </row>
    <row r="36" spans="1:20">
      <c r="A36" s="27">
        <v>26</v>
      </c>
      <c r="B36" s="3">
        <f t="shared" si="0"/>
        <v>0.01</v>
      </c>
      <c r="C36" s="40">
        <v>0</v>
      </c>
      <c r="D36" s="40">
        <f t="shared" si="1"/>
        <v>0</v>
      </c>
      <c r="E36" s="47">
        <f t="shared" si="2"/>
        <v>0</v>
      </c>
      <c r="F36" s="47">
        <f t="shared" si="3"/>
        <v>0</v>
      </c>
      <c r="G36" s="27">
        <f>IF(VLOOKUP(A36,Wechsel!$A$11:$E$31,1)=A36,VLOOKUP(A36,Wechsel!$A$11:$E$31,1),0)</f>
        <v>0</v>
      </c>
      <c r="H36" s="35">
        <f>IF(G36&gt;0,VLOOKUP(A36,Wechsel!$A$11:$E$31,3),H35)</f>
        <v>0</v>
      </c>
      <c r="I36" s="35">
        <f>IF(G36&gt;0,VLOOKUP(A36,Wechsel!$A$11:$E$31,4),I35)</f>
        <v>0</v>
      </c>
      <c r="J36" s="35">
        <f>IF(G36&gt;0,VLOOKUP(A36,Wechsel!$A$11:$E$31,5),J35)</f>
        <v>1</v>
      </c>
      <c r="K36" s="52">
        <f t="shared" si="9"/>
        <v>0</v>
      </c>
      <c r="L36" s="53">
        <f t="shared" si="10"/>
        <v>2946.9302436244579</v>
      </c>
      <c r="M36" s="54">
        <f t="shared" si="4"/>
        <v>0</v>
      </c>
      <c r="N36" s="59">
        <f t="shared" si="5"/>
        <v>1</v>
      </c>
      <c r="O36" s="53">
        <f t="shared" si="11"/>
        <v>0</v>
      </c>
      <c r="P36" s="52">
        <f>MAX(P35-Eingabe!$E$28,0)</f>
        <v>0</v>
      </c>
      <c r="Q36" s="60">
        <f t="shared" si="6"/>
        <v>0</v>
      </c>
      <c r="R36" s="60">
        <f t="shared" si="12"/>
        <v>0</v>
      </c>
      <c r="S36" s="60">
        <f>Eingabe!$C$25+Eingabe!$E$25*'Berechnung EB 4%'!F36</f>
        <v>39</v>
      </c>
      <c r="T36" s="4">
        <f t="shared" si="8"/>
        <v>-39</v>
      </c>
    </row>
    <row r="37" spans="1:20">
      <c r="A37" s="27">
        <v>27</v>
      </c>
      <c r="B37" s="3">
        <f t="shared" si="0"/>
        <v>0.01</v>
      </c>
      <c r="C37" s="40">
        <v>0</v>
      </c>
      <c r="D37" s="40">
        <f t="shared" si="1"/>
        <v>0</v>
      </c>
      <c r="E37" s="47">
        <f t="shared" si="2"/>
        <v>0</v>
      </c>
      <c r="F37" s="47">
        <f t="shared" si="3"/>
        <v>0</v>
      </c>
      <c r="G37" s="27">
        <f>IF(VLOOKUP(A37,Wechsel!$A$11:$E$31,1)=A37,VLOOKUP(A37,Wechsel!$A$11:$E$31,1),0)</f>
        <v>0</v>
      </c>
      <c r="H37" s="35">
        <f>IF(G37&gt;0,VLOOKUP(A37,Wechsel!$A$11:$E$31,3),H36)</f>
        <v>0</v>
      </c>
      <c r="I37" s="35">
        <f>IF(G37&gt;0,VLOOKUP(A37,Wechsel!$A$11:$E$31,4),I36)</f>
        <v>0</v>
      </c>
      <c r="J37" s="35">
        <f>IF(G37&gt;0,VLOOKUP(A37,Wechsel!$A$11:$E$31,5),J36)</f>
        <v>1</v>
      </c>
      <c r="K37" s="52">
        <f t="shared" si="9"/>
        <v>0</v>
      </c>
      <c r="L37" s="53">
        <f t="shared" si="10"/>
        <v>2946.9302436244579</v>
      </c>
      <c r="M37" s="54">
        <f t="shared" si="4"/>
        <v>0</v>
      </c>
      <c r="N37" s="59">
        <f t="shared" si="5"/>
        <v>1</v>
      </c>
      <c r="O37" s="53">
        <f t="shared" si="11"/>
        <v>0</v>
      </c>
      <c r="P37" s="52">
        <f>MAX(P36-Eingabe!$E$28,0)</f>
        <v>0</v>
      </c>
      <c r="Q37" s="60">
        <f t="shared" si="6"/>
        <v>0</v>
      </c>
      <c r="R37" s="60">
        <f t="shared" si="12"/>
        <v>0</v>
      </c>
      <c r="S37" s="60">
        <f>Eingabe!$C$25+Eingabe!$E$25*'Berechnung EB 4%'!F37</f>
        <v>39</v>
      </c>
      <c r="T37" s="4">
        <f t="shared" si="8"/>
        <v>-39</v>
      </c>
    </row>
    <row r="38" spans="1:20">
      <c r="A38" s="27">
        <v>28</v>
      </c>
      <c r="B38" s="3">
        <f t="shared" si="0"/>
        <v>0.01</v>
      </c>
      <c r="C38" s="40">
        <v>0</v>
      </c>
      <c r="D38" s="40">
        <f t="shared" si="1"/>
        <v>0</v>
      </c>
      <c r="E38" s="47">
        <f t="shared" si="2"/>
        <v>0</v>
      </c>
      <c r="F38" s="47">
        <f t="shared" si="3"/>
        <v>0</v>
      </c>
      <c r="G38" s="27">
        <f>IF(VLOOKUP(A38,Wechsel!$A$11:$E$31,1)=A38,VLOOKUP(A38,Wechsel!$A$11:$E$31,1),0)</f>
        <v>0</v>
      </c>
      <c r="H38" s="35">
        <f>IF(G38&gt;0,VLOOKUP(A38,Wechsel!$A$11:$E$31,3),H37)</f>
        <v>0</v>
      </c>
      <c r="I38" s="35">
        <f>IF(G38&gt;0,VLOOKUP(A38,Wechsel!$A$11:$E$31,4),I37)</f>
        <v>0</v>
      </c>
      <c r="J38" s="35">
        <f>IF(G38&gt;0,VLOOKUP(A38,Wechsel!$A$11:$E$31,5),J37)</f>
        <v>1</v>
      </c>
      <c r="K38" s="52">
        <f t="shared" si="9"/>
        <v>0</v>
      </c>
      <c r="L38" s="53">
        <f t="shared" si="10"/>
        <v>2946.9302436244579</v>
      </c>
      <c r="M38" s="54">
        <f t="shared" si="4"/>
        <v>0</v>
      </c>
      <c r="N38" s="59">
        <f t="shared" si="5"/>
        <v>1</v>
      </c>
      <c r="O38" s="53">
        <f t="shared" si="11"/>
        <v>0</v>
      </c>
      <c r="P38" s="52">
        <f>MAX(P37-Eingabe!$E$28,0)</f>
        <v>0</v>
      </c>
      <c r="Q38" s="60">
        <f t="shared" si="6"/>
        <v>0</v>
      </c>
      <c r="R38" s="60">
        <f t="shared" si="12"/>
        <v>0</v>
      </c>
      <c r="S38" s="60">
        <f>Eingabe!$C$25+Eingabe!$E$25*'Berechnung EB 4%'!F38</f>
        <v>39</v>
      </c>
      <c r="T38" s="4">
        <f t="shared" si="8"/>
        <v>-39</v>
      </c>
    </row>
    <row r="39" spans="1:20">
      <c r="A39" s="27">
        <v>29</v>
      </c>
      <c r="B39" s="3">
        <f t="shared" si="0"/>
        <v>0.01</v>
      </c>
      <c r="C39" s="40">
        <v>0</v>
      </c>
      <c r="D39" s="40">
        <f t="shared" si="1"/>
        <v>0</v>
      </c>
      <c r="E39" s="47">
        <f t="shared" si="2"/>
        <v>0</v>
      </c>
      <c r="F39" s="47">
        <f t="shared" si="3"/>
        <v>0</v>
      </c>
      <c r="G39" s="27">
        <f>IF(VLOOKUP(A39,Wechsel!$A$11:$E$31,1)=A39,VLOOKUP(A39,Wechsel!$A$11:$E$31,1),0)</f>
        <v>0</v>
      </c>
      <c r="H39" s="35">
        <f>IF(G39&gt;0,VLOOKUP(A39,Wechsel!$A$11:$E$31,3),H38)</f>
        <v>0</v>
      </c>
      <c r="I39" s="35">
        <f>IF(G39&gt;0,VLOOKUP(A39,Wechsel!$A$11:$E$31,4),I38)</f>
        <v>0</v>
      </c>
      <c r="J39" s="35">
        <f>IF(G39&gt;0,VLOOKUP(A39,Wechsel!$A$11:$E$31,5),J38)</f>
        <v>1</v>
      </c>
      <c r="K39" s="52">
        <f t="shared" si="9"/>
        <v>0</v>
      </c>
      <c r="L39" s="53">
        <f t="shared" si="10"/>
        <v>2946.9302436244579</v>
      </c>
      <c r="M39" s="54">
        <f t="shared" si="4"/>
        <v>0</v>
      </c>
      <c r="N39" s="59">
        <f>1-(H39*$G$5+I39*$H$5+J39*$I$5)</f>
        <v>1</v>
      </c>
      <c r="O39" s="53">
        <f t="shared" si="11"/>
        <v>0</v>
      </c>
      <c r="P39" s="52">
        <f>MAX(P38-Eingabe!$E$28,0)</f>
        <v>0</v>
      </c>
      <c r="Q39" s="60">
        <f t="shared" si="6"/>
        <v>0</v>
      </c>
      <c r="R39" s="60">
        <f t="shared" si="12"/>
        <v>0</v>
      </c>
      <c r="S39" s="60">
        <f>Eingabe!$C$25+Eingabe!$E$25*'Berechnung EB 4%'!F39</f>
        <v>39</v>
      </c>
      <c r="T39" s="4">
        <f t="shared" si="8"/>
        <v>-39</v>
      </c>
    </row>
    <row r="40" spans="1:20">
      <c r="A40" s="27">
        <v>30</v>
      </c>
      <c r="B40" s="3">
        <f t="shared" si="0"/>
        <v>0.01</v>
      </c>
      <c r="C40" s="40">
        <v>0</v>
      </c>
      <c r="D40" s="40">
        <f t="shared" si="1"/>
        <v>0</v>
      </c>
      <c r="E40" s="47">
        <f t="shared" si="2"/>
        <v>0</v>
      </c>
      <c r="F40" s="47">
        <f t="shared" si="3"/>
        <v>0</v>
      </c>
      <c r="G40" s="27">
        <f>IF(VLOOKUP(A40,Wechsel!$A$11:$E$31,1)=A40,VLOOKUP(A40,Wechsel!$A$11:$E$31,1),0)</f>
        <v>0</v>
      </c>
      <c r="H40" s="35">
        <f>IF(G40&gt;0,VLOOKUP(A40,Wechsel!$A$11:$E$31,3),H39)</f>
        <v>0</v>
      </c>
      <c r="I40" s="35">
        <f>IF(G40&gt;0,VLOOKUP(A40,Wechsel!$A$11:$E$31,4),I39)</f>
        <v>0</v>
      </c>
      <c r="J40" s="35">
        <f>IF(G40&gt;0,VLOOKUP(A40,Wechsel!$A$11:$E$31,5),J39)</f>
        <v>1</v>
      </c>
      <c r="K40" s="52">
        <f t="shared" si="9"/>
        <v>0</v>
      </c>
      <c r="L40" s="53">
        <f t="shared" si="10"/>
        <v>2946.9302436244579</v>
      </c>
      <c r="M40" s="54">
        <f t="shared" si="4"/>
        <v>0</v>
      </c>
      <c r="N40" s="59">
        <f t="shared" si="5"/>
        <v>1</v>
      </c>
      <c r="O40" s="53">
        <f t="shared" si="11"/>
        <v>0</v>
      </c>
      <c r="P40" s="52">
        <f>MAX(P39-Eingabe!$E$28,0)</f>
        <v>0</v>
      </c>
      <c r="Q40" s="60">
        <f t="shared" si="6"/>
        <v>0</v>
      </c>
      <c r="R40" s="60">
        <f t="shared" si="12"/>
        <v>0</v>
      </c>
      <c r="S40" s="60">
        <f>Eingabe!$C$25+Eingabe!$E$25*'Berechnung EB 4%'!F40</f>
        <v>39</v>
      </c>
      <c r="T40" s="4">
        <f t="shared" si="8"/>
        <v>-39</v>
      </c>
    </row>
    <row r="41" spans="1:20">
      <c r="A41" s="27">
        <v>31</v>
      </c>
      <c r="B41" s="3">
        <f t="shared" si="0"/>
        <v>0.01</v>
      </c>
      <c r="C41" s="40">
        <v>0</v>
      </c>
      <c r="D41" s="40">
        <f t="shared" si="1"/>
        <v>0</v>
      </c>
      <c r="E41" s="47">
        <f t="shared" si="2"/>
        <v>0</v>
      </c>
      <c r="F41" s="47">
        <f t="shared" si="3"/>
        <v>0</v>
      </c>
      <c r="G41" s="27">
        <f>IF(VLOOKUP(A41,Wechsel!$A$11:$E$31,1)=A41,VLOOKUP(A41,Wechsel!$A$11:$E$31,1),0)</f>
        <v>0</v>
      </c>
      <c r="H41" s="35">
        <f>IF(G41&gt;0,VLOOKUP(A41,Wechsel!$A$11:$E$31,3),H40)</f>
        <v>0</v>
      </c>
      <c r="I41" s="35">
        <f>IF(G41&gt;0,VLOOKUP(A41,Wechsel!$A$11:$E$31,4),I40)</f>
        <v>0</v>
      </c>
      <c r="J41" s="35">
        <f>IF(G41&gt;0,VLOOKUP(A41,Wechsel!$A$11:$E$31,5),J40)</f>
        <v>1</v>
      </c>
      <c r="K41" s="52">
        <f t="shared" si="9"/>
        <v>0</v>
      </c>
      <c r="L41" s="53">
        <f t="shared" si="10"/>
        <v>2946.9302436244579</v>
      </c>
      <c r="M41" s="54">
        <f t="shared" si="4"/>
        <v>0</v>
      </c>
      <c r="N41" s="59">
        <f t="shared" si="5"/>
        <v>1</v>
      </c>
      <c r="O41" s="53">
        <f t="shared" si="11"/>
        <v>0</v>
      </c>
      <c r="P41" s="52">
        <f>MAX(P40-Eingabe!$E$28,0)</f>
        <v>0</v>
      </c>
      <c r="Q41" s="60">
        <f t="shared" si="6"/>
        <v>0</v>
      </c>
      <c r="R41" s="60">
        <f t="shared" si="12"/>
        <v>0</v>
      </c>
      <c r="S41" s="60">
        <f>Eingabe!$C$25+Eingabe!$E$25*'Berechnung EB 4%'!F41</f>
        <v>39</v>
      </c>
      <c r="T41" s="4">
        <f t="shared" si="8"/>
        <v>-39</v>
      </c>
    </row>
    <row r="42" spans="1:20">
      <c r="A42" s="27">
        <v>32</v>
      </c>
      <c r="B42" s="3">
        <f t="shared" si="0"/>
        <v>0.01</v>
      </c>
      <c r="C42" s="40">
        <v>0</v>
      </c>
      <c r="D42" s="40">
        <f t="shared" si="1"/>
        <v>0</v>
      </c>
      <c r="E42" s="47">
        <f t="shared" si="2"/>
        <v>0</v>
      </c>
      <c r="F42" s="47">
        <f t="shared" si="3"/>
        <v>0</v>
      </c>
      <c r="G42" s="27">
        <f>IF(VLOOKUP(A42,Wechsel!$A$11:$E$31,1)=A42,VLOOKUP(A42,Wechsel!$A$11:$E$31,1),0)</f>
        <v>0</v>
      </c>
      <c r="H42" s="35">
        <f>IF(G42&gt;0,VLOOKUP(A42,Wechsel!$A$11:$E$31,3),H41)</f>
        <v>0</v>
      </c>
      <c r="I42" s="35">
        <f>IF(G42&gt;0,VLOOKUP(A42,Wechsel!$A$11:$E$31,4),I41)</f>
        <v>0</v>
      </c>
      <c r="J42" s="35">
        <f>IF(G42&gt;0,VLOOKUP(A42,Wechsel!$A$11:$E$31,5),J41)</f>
        <v>1</v>
      </c>
      <c r="K42" s="52">
        <f t="shared" si="9"/>
        <v>0</v>
      </c>
      <c r="L42" s="53">
        <f t="shared" si="10"/>
        <v>2946.9302436244579</v>
      </c>
      <c r="M42" s="54">
        <f t="shared" si="4"/>
        <v>0</v>
      </c>
      <c r="N42" s="59">
        <f t="shared" si="5"/>
        <v>1</v>
      </c>
      <c r="O42" s="53">
        <f t="shared" si="11"/>
        <v>0</v>
      </c>
      <c r="P42" s="52">
        <f>MAX(P41-Eingabe!$E$28,0)</f>
        <v>0</v>
      </c>
      <c r="Q42" s="60">
        <f t="shared" si="6"/>
        <v>0</v>
      </c>
      <c r="R42" s="60">
        <f t="shared" si="12"/>
        <v>0</v>
      </c>
      <c r="S42" s="60">
        <f>Eingabe!$C$25+Eingabe!$E$25*'Berechnung EB 4%'!F42</f>
        <v>39</v>
      </c>
      <c r="T42" s="4">
        <f t="shared" si="8"/>
        <v>-39</v>
      </c>
    </row>
    <row r="43" spans="1:20">
      <c r="A43" s="27">
        <v>33</v>
      </c>
      <c r="B43" s="3">
        <f t="shared" si="0"/>
        <v>0.01</v>
      </c>
      <c r="C43" s="40">
        <v>0</v>
      </c>
      <c r="D43" s="40">
        <f t="shared" si="1"/>
        <v>0</v>
      </c>
      <c r="E43" s="47">
        <f t="shared" si="2"/>
        <v>0</v>
      </c>
      <c r="F43" s="47">
        <f t="shared" si="3"/>
        <v>0</v>
      </c>
      <c r="G43" s="27">
        <f>IF(VLOOKUP(A43,Wechsel!$A$11:$E$31,1)=A43,VLOOKUP(A43,Wechsel!$A$11:$E$31,1),0)</f>
        <v>0</v>
      </c>
      <c r="H43" s="35">
        <f>IF(G43&gt;0,VLOOKUP(A43,Wechsel!$A$11:$E$31,3),H42)</f>
        <v>0</v>
      </c>
      <c r="I43" s="35">
        <f>IF(G43&gt;0,VLOOKUP(A43,Wechsel!$A$11:$E$31,4),I42)</f>
        <v>0</v>
      </c>
      <c r="J43" s="35">
        <f>IF(G43&gt;0,VLOOKUP(A43,Wechsel!$A$11:$E$31,5),J42)</f>
        <v>1</v>
      </c>
      <c r="K43" s="52">
        <f t="shared" si="9"/>
        <v>0</v>
      </c>
      <c r="L43" s="53">
        <f t="shared" si="10"/>
        <v>2946.9302436244579</v>
      </c>
      <c r="M43" s="54">
        <f t="shared" si="4"/>
        <v>0</v>
      </c>
      <c r="N43" s="59">
        <f t="shared" si="5"/>
        <v>1</v>
      </c>
      <c r="O43" s="53">
        <f t="shared" si="11"/>
        <v>0</v>
      </c>
      <c r="P43" s="52">
        <f>MAX(P42-Eingabe!$E$28,0)</f>
        <v>0</v>
      </c>
      <c r="Q43" s="60">
        <f t="shared" si="6"/>
        <v>0</v>
      </c>
      <c r="R43" s="60">
        <f t="shared" si="12"/>
        <v>0</v>
      </c>
      <c r="S43" s="60">
        <f>Eingabe!$C$25+Eingabe!$E$25*'Berechnung EB 4%'!F43</f>
        <v>39</v>
      </c>
      <c r="T43" s="4">
        <f t="shared" si="8"/>
        <v>-39</v>
      </c>
    </row>
    <row r="44" spans="1:20">
      <c r="A44" s="27">
        <v>34</v>
      </c>
      <c r="B44" s="3">
        <f t="shared" si="0"/>
        <v>0.01</v>
      </c>
      <c r="C44" s="40">
        <v>0</v>
      </c>
      <c r="D44" s="40">
        <f t="shared" ref="D44:D60" si="13">IF(A44&gt;$B$3,0,T43)</f>
        <v>0</v>
      </c>
      <c r="E44" s="47">
        <f t="shared" ref="E44:E60" si="14">(C44+D44)*$B$1</f>
        <v>0</v>
      </c>
      <c r="F44" s="47">
        <f t="shared" ref="F44:F60" si="15">IF(A44&gt;$B$3,0,C44+E44+D44)</f>
        <v>0</v>
      </c>
      <c r="G44" s="27">
        <f>IF(VLOOKUP(A44,Wechsel!$A$11:$E$31,1)=A44,VLOOKUP(A44,Wechsel!$A$11:$E$31,1),0)</f>
        <v>0</v>
      </c>
      <c r="H44" s="35">
        <f>IF(G44&gt;0,VLOOKUP(A44,Wechsel!$A$11:$E$31,3),H43)</f>
        <v>0</v>
      </c>
      <c r="I44" s="35">
        <f>IF(G44&gt;0,VLOOKUP(A44,Wechsel!$A$11:$E$31,4),I43)</f>
        <v>0</v>
      </c>
      <c r="J44" s="35">
        <f>IF(G44&gt;0,VLOOKUP(A44,Wechsel!$A$11:$E$31,5),J43)</f>
        <v>1</v>
      </c>
      <c r="K44" s="52">
        <f t="shared" si="9"/>
        <v>0</v>
      </c>
      <c r="L44" s="53">
        <f t="shared" si="10"/>
        <v>2946.9302436244579</v>
      </c>
      <c r="M44" s="54">
        <f t="shared" ref="M44:M60" si="16">IF(A44&gt;$B$3,0,IF(G43&gt;0,T43,C44+M43))</f>
        <v>0</v>
      </c>
      <c r="N44" s="59">
        <f t="shared" si="5"/>
        <v>1</v>
      </c>
      <c r="O44" s="53">
        <f t="shared" si="11"/>
        <v>0</v>
      </c>
      <c r="P44" s="52">
        <f>MAX(P43-Eingabe!$E$28,0)</f>
        <v>0</v>
      </c>
      <c r="Q44" s="60">
        <f t="shared" si="6"/>
        <v>0</v>
      </c>
      <c r="R44" s="60">
        <f t="shared" si="12"/>
        <v>0</v>
      </c>
      <c r="S44" s="60">
        <f>Eingabe!$C$25+Eingabe!$E$25*'Berechnung EB 4%'!F44</f>
        <v>39</v>
      </c>
      <c r="T44" s="4">
        <f t="shared" si="8"/>
        <v>-39</v>
      </c>
    </row>
    <row r="45" spans="1:20">
      <c r="A45" s="27">
        <v>35</v>
      </c>
      <c r="B45" s="3">
        <f t="shared" si="0"/>
        <v>0.01</v>
      </c>
      <c r="C45" s="40">
        <v>0</v>
      </c>
      <c r="D45" s="40">
        <f t="shared" si="13"/>
        <v>0</v>
      </c>
      <c r="E45" s="47">
        <f t="shared" si="14"/>
        <v>0</v>
      </c>
      <c r="F45" s="47">
        <f t="shared" si="15"/>
        <v>0</v>
      </c>
      <c r="G45" s="27">
        <f>IF(VLOOKUP(A45,Wechsel!$A$11:$E$31,1)=A45,VLOOKUP(A45,Wechsel!$A$11:$E$31,1),0)</f>
        <v>0</v>
      </c>
      <c r="H45" s="35">
        <f>IF(G45&gt;0,VLOOKUP(A45,Wechsel!$A$11:$E$31,3),H44)</f>
        <v>0</v>
      </c>
      <c r="I45" s="35">
        <f>IF(G45&gt;0,VLOOKUP(A45,Wechsel!$A$11:$E$31,4),I44)</f>
        <v>0</v>
      </c>
      <c r="J45" s="35">
        <f>IF(G45&gt;0,VLOOKUP(A45,Wechsel!$A$11:$E$31,5),J44)</f>
        <v>1</v>
      </c>
      <c r="K45" s="52">
        <f t="shared" si="9"/>
        <v>0</v>
      </c>
      <c r="L45" s="53">
        <f t="shared" si="10"/>
        <v>2946.9302436244579</v>
      </c>
      <c r="M45" s="54">
        <f t="shared" si="16"/>
        <v>0</v>
      </c>
      <c r="N45" s="59">
        <f t="shared" si="5"/>
        <v>1</v>
      </c>
      <c r="O45" s="53">
        <f t="shared" si="11"/>
        <v>0</v>
      </c>
      <c r="P45" s="52">
        <f>MAX(P44-Eingabe!$E$28,0)</f>
        <v>0</v>
      </c>
      <c r="Q45" s="60">
        <f t="shared" si="6"/>
        <v>0</v>
      </c>
      <c r="R45" s="60">
        <f t="shared" si="12"/>
        <v>0</v>
      </c>
      <c r="S45" s="60">
        <f>Eingabe!$C$25+Eingabe!$E$25*'Berechnung EB 4%'!F45</f>
        <v>39</v>
      </c>
      <c r="T45" s="4">
        <f t="shared" si="8"/>
        <v>-39</v>
      </c>
    </row>
    <row r="46" spans="1:20">
      <c r="A46" s="27">
        <v>36</v>
      </c>
      <c r="B46" s="3">
        <f t="shared" si="0"/>
        <v>0.01</v>
      </c>
      <c r="C46" s="40">
        <v>0</v>
      </c>
      <c r="D46" s="40">
        <f t="shared" si="13"/>
        <v>0</v>
      </c>
      <c r="E46" s="47">
        <f t="shared" si="14"/>
        <v>0</v>
      </c>
      <c r="F46" s="47">
        <f t="shared" si="15"/>
        <v>0</v>
      </c>
      <c r="G46" s="27">
        <f>IF(VLOOKUP(A46,Wechsel!$A$11:$E$31,1)=A46,VLOOKUP(A46,Wechsel!$A$11:$E$31,1),0)</f>
        <v>0</v>
      </c>
      <c r="H46" s="35">
        <f>IF(G46&gt;0,VLOOKUP(A46,Wechsel!$A$11:$E$31,3),H45)</f>
        <v>0</v>
      </c>
      <c r="I46" s="35">
        <f>IF(G46&gt;0,VLOOKUP(A46,Wechsel!$A$11:$E$31,4),I45)</f>
        <v>0</v>
      </c>
      <c r="J46" s="35">
        <f>IF(G46&gt;0,VLOOKUP(A46,Wechsel!$A$11:$E$31,5),J45)</f>
        <v>1</v>
      </c>
      <c r="K46" s="52">
        <f t="shared" si="9"/>
        <v>0</v>
      </c>
      <c r="L46" s="53">
        <f t="shared" si="10"/>
        <v>2946.9302436244579</v>
      </c>
      <c r="M46" s="54">
        <f t="shared" si="16"/>
        <v>0</v>
      </c>
      <c r="N46" s="59">
        <f t="shared" si="5"/>
        <v>1</v>
      </c>
      <c r="O46" s="53">
        <f t="shared" si="11"/>
        <v>0</v>
      </c>
      <c r="P46" s="52">
        <f>MAX(P45-Eingabe!$E$28,0)</f>
        <v>0</v>
      </c>
      <c r="Q46" s="60">
        <f t="shared" si="6"/>
        <v>0</v>
      </c>
      <c r="R46" s="60">
        <f t="shared" si="12"/>
        <v>0</v>
      </c>
      <c r="S46" s="60">
        <f>Eingabe!$C$25+Eingabe!$E$25*'Berechnung EB 4%'!F46</f>
        <v>39</v>
      </c>
      <c r="T46" s="4">
        <f t="shared" si="8"/>
        <v>-39</v>
      </c>
    </row>
    <row r="47" spans="1:20">
      <c r="A47" s="27">
        <v>37</v>
      </c>
      <c r="B47" s="3">
        <f t="shared" si="0"/>
        <v>0.01</v>
      </c>
      <c r="C47" s="40">
        <v>0</v>
      </c>
      <c r="D47" s="40">
        <f t="shared" si="13"/>
        <v>0</v>
      </c>
      <c r="E47" s="47">
        <f t="shared" si="14"/>
        <v>0</v>
      </c>
      <c r="F47" s="47">
        <f t="shared" si="15"/>
        <v>0</v>
      </c>
      <c r="G47" s="27">
        <f>IF(VLOOKUP(A47,Wechsel!$A$11:$E$31,1)=A47,VLOOKUP(A47,Wechsel!$A$11:$E$31,1),0)</f>
        <v>0</v>
      </c>
      <c r="H47" s="35">
        <f>IF(G47&gt;0,VLOOKUP(A47,Wechsel!$A$11:$E$31,3),H46)</f>
        <v>0</v>
      </c>
      <c r="I47" s="35">
        <f>IF(G47&gt;0,VLOOKUP(A47,Wechsel!$A$11:$E$31,4),I46)</f>
        <v>0</v>
      </c>
      <c r="J47" s="35">
        <f>IF(G47&gt;0,VLOOKUP(A47,Wechsel!$A$11:$E$31,5),J46)</f>
        <v>1</v>
      </c>
      <c r="K47" s="52">
        <f t="shared" si="9"/>
        <v>0</v>
      </c>
      <c r="L47" s="53">
        <f t="shared" si="10"/>
        <v>2946.9302436244579</v>
      </c>
      <c r="M47" s="54">
        <f t="shared" si="16"/>
        <v>0</v>
      </c>
      <c r="N47" s="59">
        <f t="shared" si="5"/>
        <v>1</v>
      </c>
      <c r="O47" s="53">
        <f t="shared" si="11"/>
        <v>0</v>
      </c>
      <c r="P47" s="52">
        <f>MAX(P46-Eingabe!$E$28,0)</f>
        <v>0</v>
      </c>
      <c r="Q47" s="60">
        <f t="shared" si="6"/>
        <v>0</v>
      </c>
      <c r="R47" s="60">
        <f t="shared" si="12"/>
        <v>0</v>
      </c>
      <c r="S47" s="60">
        <f>Eingabe!$C$25+Eingabe!$E$25*'Berechnung EB 4%'!F47</f>
        <v>39</v>
      </c>
      <c r="T47" s="4">
        <f t="shared" si="8"/>
        <v>-39</v>
      </c>
    </row>
    <row r="48" spans="1:20">
      <c r="A48" s="27">
        <v>38</v>
      </c>
      <c r="B48" s="3">
        <f t="shared" si="0"/>
        <v>0.01</v>
      </c>
      <c r="C48" s="40">
        <v>0</v>
      </c>
      <c r="D48" s="40">
        <f t="shared" si="13"/>
        <v>0</v>
      </c>
      <c r="E48" s="47">
        <f t="shared" si="14"/>
        <v>0</v>
      </c>
      <c r="F48" s="47">
        <f t="shared" si="15"/>
        <v>0</v>
      </c>
      <c r="G48" s="27">
        <f>IF(VLOOKUP(A48,Wechsel!$A$11:$E$31,1)=A48,VLOOKUP(A48,Wechsel!$A$11:$E$31,1),0)</f>
        <v>0</v>
      </c>
      <c r="H48" s="35">
        <f>IF(G48&gt;0,VLOOKUP(A48,Wechsel!$A$11:$E$31,3),H47)</f>
        <v>0</v>
      </c>
      <c r="I48" s="35">
        <f>IF(G48&gt;0,VLOOKUP(A48,Wechsel!$A$11:$E$31,4),I47)</f>
        <v>0</v>
      </c>
      <c r="J48" s="35">
        <f>IF(G48&gt;0,VLOOKUP(A48,Wechsel!$A$11:$E$31,5),J47)</f>
        <v>1</v>
      </c>
      <c r="K48" s="52">
        <f t="shared" si="9"/>
        <v>0</v>
      </c>
      <c r="L48" s="53">
        <f t="shared" si="10"/>
        <v>2946.9302436244579</v>
      </c>
      <c r="M48" s="54">
        <f t="shared" si="16"/>
        <v>0</v>
      </c>
      <c r="N48" s="59">
        <f t="shared" si="5"/>
        <v>1</v>
      </c>
      <c r="O48" s="53">
        <f t="shared" si="11"/>
        <v>0</v>
      </c>
      <c r="P48" s="52">
        <f>MAX(P47-Eingabe!$E$28,0)</f>
        <v>0</v>
      </c>
      <c r="Q48" s="60">
        <f t="shared" si="6"/>
        <v>0</v>
      </c>
      <c r="R48" s="60">
        <f t="shared" si="12"/>
        <v>0</v>
      </c>
      <c r="S48" s="60">
        <f>Eingabe!$C$25+Eingabe!$E$25*'Berechnung EB 4%'!F48</f>
        <v>39</v>
      </c>
      <c r="T48" s="4">
        <f t="shared" si="8"/>
        <v>-39</v>
      </c>
    </row>
    <row r="49" spans="1:20">
      <c r="A49" s="27">
        <v>39</v>
      </c>
      <c r="B49" s="3">
        <f t="shared" si="0"/>
        <v>0.01</v>
      </c>
      <c r="C49" s="40">
        <v>0</v>
      </c>
      <c r="D49" s="40">
        <f t="shared" si="13"/>
        <v>0</v>
      </c>
      <c r="E49" s="47">
        <f t="shared" si="14"/>
        <v>0</v>
      </c>
      <c r="F49" s="47">
        <f t="shared" si="15"/>
        <v>0</v>
      </c>
      <c r="G49" s="27">
        <f>IF(VLOOKUP(A49,Wechsel!$A$11:$E$31,1)=A49,VLOOKUP(A49,Wechsel!$A$11:$E$31,1),0)</f>
        <v>0</v>
      </c>
      <c r="H49" s="35">
        <f>IF(G49&gt;0,VLOOKUP(A49,Wechsel!$A$11:$E$31,3),H48)</f>
        <v>0</v>
      </c>
      <c r="I49" s="35">
        <f>IF(G49&gt;0,VLOOKUP(A49,Wechsel!$A$11:$E$31,4),I48)</f>
        <v>0</v>
      </c>
      <c r="J49" s="35">
        <f>IF(G49&gt;0,VLOOKUP(A49,Wechsel!$A$11:$E$31,5),J48)</f>
        <v>1</v>
      </c>
      <c r="K49" s="52">
        <f t="shared" si="9"/>
        <v>0</v>
      </c>
      <c r="L49" s="53">
        <f t="shared" si="10"/>
        <v>2946.9302436244579</v>
      </c>
      <c r="M49" s="54">
        <f t="shared" si="16"/>
        <v>0</v>
      </c>
      <c r="N49" s="59">
        <f t="shared" si="5"/>
        <v>1</v>
      </c>
      <c r="O49" s="53">
        <f t="shared" si="11"/>
        <v>0</v>
      </c>
      <c r="P49" s="52">
        <f>MAX(P48-Eingabe!$E$28,0)</f>
        <v>0</v>
      </c>
      <c r="Q49" s="60">
        <f t="shared" si="6"/>
        <v>0</v>
      </c>
      <c r="R49" s="60">
        <f t="shared" si="12"/>
        <v>0</v>
      </c>
      <c r="S49" s="60">
        <f>Eingabe!$C$25+Eingabe!$E$25*'Berechnung EB 4%'!F49</f>
        <v>39</v>
      </c>
      <c r="T49" s="4">
        <f t="shared" si="8"/>
        <v>-39</v>
      </c>
    </row>
    <row r="50" spans="1:20">
      <c r="A50" s="27">
        <v>40</v>
      </c>
      <c r="B50" s="3">
        <f t="shared" si="0"/>
        <v>0.01</v>
      </c>
      <c r="C50" s="40">
        <v>0</v>
      </c>
      <c r="D50" s="40">
        <f t="shared" si="13"/>
        <v>0</v>
      </c>
      <c r="E50" s="47">
        <f t="shared" si="14"/>
        <v>0</v>
      </c>
      <c r="F50" s="47">
        <f t="shared" si="15"/>
        <v>0</v>
      </c>
      <c r="G50" s="27">
        <f>IF(VLOOKUP(A50,Wechsel!$A$11:$E$31,1)=A50,VLOOKUP(A50,Wechsel!$A$11:$E$31,1),0)</f>
        <v>0</v>
      </c>
      <c r="H50" s="35">
        <f>IF(G50&gt;0,VLOOKUP(A50,Wechsel!$A$11:$E$31,3),H49)</f>
        <v>0</v>
      </c>
      <c r="I50" s="35">
        <f>IF(G50&gt;0,VLOOKUP(A50,Wechsel!$A$11:$E$31,4),I49)</f>
        <v>0</v>
      </c>
      <c r="J50" s="35">
        <f>IF(G50&gt;0,VLOOKUP(A50,Wechsel!$A$11:$E$31,5),J49)</f>
        <v>1</v>
      </c>
      <c r="K50" s="52">
        <f t="shared" si="9"/>
        <v>0</v>
      </c>
      <c r="L50" s="53">
        <f t="shared" si="10"/>
        <v>2946.9302436244579</v>
      </c>
      <c r="M50" s="54">
        <f t="shared" si="16"/>
        <v>0</v>
      </c>
      <c r="N50" s="59">
        <f t="shared" si="5"/>
        <v>1</v>
      </c>
      <c r="O50" s="53">
        <f t="shared" si="11"/>
        <v>0</v>
      </c>
      <c r="P50" s="52">
        <f>MAX(P49-Eingabe!$E$28,0)</f>
        <v>0</v>
      </c>
      <c r="Q50" s="60">
        <f t="shared" si="6"/>
        <v>0</v>
      </c>
      <c r="R50" s="60">
        <f t="shared" si="12"/>
        <v>0</v>
      </c>
      <c r="S50" s="60">
        <f>Eingabe!$C$25+Eingabe!$E$25*'Berechnung EB 4%'!F50</f>
        <v>39</v>
      </c>
      <c r="T50" s="4">
        <f t="shared" si="8"/>
        <v>-39</v>
      </c>
    </row>
    <row r="51" spans="1:20">
      <c r="A51" s="27">
        <v>41</v>
      </c>
      <c r="B51" s="3">
        <f t="shared" si="0"/>
        <v>0.01</v>
      </c>
      <c r="C51" s="40">
        <v>0</v>
      </c>
      <c r="D51" s="40">
        <f t="shared" si="13"/>
        <v>0</v>
      </c>
      <c r="E51" s="47">
        <f t="shared" si="14"/>
        <v>0</v>
      </c>
      <c r="F51" s="47">
        <f t="shared" si="15"/>
        <v>0</v>
      </c>
      <c r="G51" s="27">
        <f>IF(VLOOKUP(A51,Wechsel!$A$11:$E$31,1)=A51,VLOOKUP(A51,Wechsel!$A$11:$E$31,1),0)</f>
        <v>0</v>
      </c>
      <c r="H51" s="35">
        <f>IF(G51&gt;0,VLOOKUP(A51,Wechsel!$A$11:$E$31,3),H50)</f>
        <v>0</v>
      </c>
      <c r="I51" s="35">
        <f>IF(G51&gt;0,VLOOKUP(A51,Wechsel!$A$11:$E$31,4),I50)</f>
        <v>0</v>
      </c>
      <c r="J51" s="35">
        <f>IF(G51&gt;0,VLOOKUP(A51,Wechsel!$A$11:$E$31,5),J50)</f>
        <v>1</v>
      </c>
      <c r="K51" s="52">
        <f t="shared" si="9"/>
        <v>0</v>
      </c>
      <c r="L51" s="53">
        <f t="shared" si="10"/>
        <v>2946.9302436244579</v>
      </c>
      <c r="M51" s="54">
        <f t="shared" si="16"/>
        <v>0</v>
      </c>
      <c r="N51" s="59">
        <f t="shared" si="5"/>
        <v>1</v>
      </c>
      <c r="O51" s="53">
        <f t="shared" si="11"/>
        <v>0</v>
      </c>
      <c r="P51" s="52">
        <f>MAX(P50-Eingabe!$E$28,0)</f>
        <v>0</v>
      </c>
      <c r="Q51" s="60">
        <f t="shared" si="6"/>
        <v>0</v>
      </c>
      <c r="R51" s="60">
        <f t="shared" si="12"/>
        <v>0</v>
      </c>
      <c r="S51" s="60">
        <f>Eingabe!$C$25+Eingabe!$E$25*'Berechnung EB 4%'!F51</f>
        <v>39</v>
      </c>
      <c r="T51" s="4">
        <f t="shared" si="8"/>
        <v>-39</v>
      </c>
    </row>
    <row r="52" spans="1:20">
      <c r="A52" s="27">
        <v>42</v>
      </c>
      <c r="B52" s="3">
        <f t="shared" si="0"/>
        <v>0.01</v>
      </c>
      <c r="C52" s="40">
        <v>0</v>
      </c>
      <c r="D52" s="40">
        <f t="shared" si="13"/>
        <v>0</v>
      </c>
      <c r="E52" s="47">
        <f t="shared" si="14"/>
        <v>0</v>
      </c>
      <c r="F52" s="47">
        <f t="shared" si="15"/>
        <v>0</v>
      </c>
      <c r="G52" s="27">
        <f>IF(VLOOKUP(A52,Wechsel!$A$11:$E$31,1)=A52,VLOOKUP(A52,Wechsel!$A$11:$E$31,1),0)</f>
        <v>0</v>
      </c>
      <c r="H52" s="35">
        <f>IF(G52&gt;0,VLOOKUP(A52,Wechsel!$A$11:$E$31,3),H51)</f>
        <v>0</v>
      </c>
      <c r="I52" s="35">
        <f>IF(G52&gt;0,VLOOKUP(A52,Wechsel!$A$11:$E$31,4),I51)</f>
        <v>0</v>
      </c>
      <c r="J52" s="35">
        <f>IF(G52&gt;0,VLOOKUP(A52,Wechsel!$A$11:$E$31,5),J51)</f>
        <v>1</v>
      </c>
      <c r="K52" s="52">
        <f t="shared" si="9"/>
        <v>0</v>
      </c>
      <c r="L52" s="53">
        <f t="shared" si="10"/>
        <v>2946.9302436244579</v>
      </c>
      <c r="M52" s="54">
        <f t="shared" si="16"/>
        <v>0</v>
      </c>
      <c r="N52" s="59">
        <f t="shared" si="5"/>
        <v>1</v>
      </c>
      <c r="O52" s="53">
        <f t="shared" si="11"/>
        <v>0</v>
      </c>
      <c r="P52" s="52">
        <f>MAX(P51-Eingabe!$E$28,0)</f>
        <v>0</v>
      </c>
      <c r="Q52" s="60">
        <f t="shared" si="6"/>
        <v>0</v>
      </c>
      <c r="R52" s="60">
        <f t="shared" si="12"/>
        <v>0</v>
      </c>
      <c r="S52" s="60">
        <f>Eingabe!$C$25+Eingabe!$E$25*'Berechnung EB 4%'!F52</f>
        <v>39</v>
      </c>
      <c r="T52" s="4">
        <f t="shared" si="8"/>
        <v>-39</v>
      </c>
    </row>
    <row r="53" spans="1:20">
      <c r="A53" s="27">
        <v>43</v>
      </c>
      <c r="B53" s="3">
        <f t="shared" si="0"/>
        <v>0.01</v>
      </c>
      <c r="C53" s="40">
        <v>0</v>
      </c>
      <c r="D53" s="40">
        <f t="shared" si="13"/>
        <v>0</v>
      </c>
      <c r="E53" s="47">
        <f t="shared" si="14"/>
        <v>0</v>
      </c>
      <c r="F53" s="47">
        <f t="shared" si="15"/>
        <v>0</v>
      </c>
      <c r="G53" s="27">
        <f>IF(VLOOKUP(A53,Wechsel!$A$11:$E$31,1)=A53,VLOOKUP(A53,Wechsel!$A$11:$E$31,1),0)</f>
        <v>0</v>
      </c>
      <c r="H53" s="35">
        <f>IF(G53&gt;0,VLOOKUP(A53,Wechsel!$A$11:$E$31,3),H52)</f>
        <v>0</v>
      </c>
      <c r="I53" s="35">
        <f>IF(G53&gt;0,VLOOKUP(A53,Wechsel!$A$11:$E$31,4),I52)</f>
        <v>0</v>
      </c>
      <c r="J53" s="35">
        <f>IF(G53&gt;0,VLOOKUP(A53,Wechsel!$A$11:$E$31,5),J52)</f>
        <v>1</v>
      </c>
      <c r="K53" s="52">
        <f t="shared" si="9"/>
        <v>0</v>
      </c>
      <c r="L53" s="53">
        <f t="shared" si="10"/>
        <v>2946.9302436244579</v>
      </c>
      <c r="M53" s="54">
        <f t="shared" si="16"/>
        <v>0</v>
      </c>
      <c r="N53" s="59">
        <f t="shared" si="5"/>
        <v>1</v>
      </c>
      <c r="O53" s="53">
        <f t="shared" si="11"/>
        <v>0</v>
      </c>
      <c r="P53" s="52">
        <f>MAX(P52-Eingabe!$E$28,0)</f>
        <v>0</v>
      </c>
      <c r="Q53" s="60">
        <f t="shared" si="6"/>
        <v>0</v>
      </c>
      <c r="R53" s="60">
        <f t="shared" si="12"/>
        <v>0</v>
      </c>
      <c r="S53" s="60">
        <f>Eingabe!$C$25+Eingabe!$E$25*'Berechnung EB 4%'!F53</f>
        <v>39</v>
      </c>
      <c r="T53" s="4">
        <f t="shared" si="8"/>
        <v>-39</v>
      </c>
    </row>
    <row r="54" spans="1:20">
      <c r="A54" s="27">
        <v>44</v>
      </c>
      <c r="B54" s="3">
        <f t="shared" si="0"/>
        <v>0.01</v>
      </c>
      <c r="C54" s="40">
        <v>0</v>
      </c>
      <c r="D54" s="40">
        <f t="shared" si="13"/>
        <v>0</v>
      </c>
      <c r="E54" s="47">
        <f t="shared" si="14"/>
        <v>0</v>
      </c>
      <c r="F54" s="47">
        <f t="shared" si="15"/>
        <v>0</v>
      </c>
      <c r="G54" s="27">
        <f>IF(VLOOKUP(A54,Wechsel!$A$11:$E$31,1)=A54,VLOOKUP(A54,Wechsel!$A$11:$E$31,1),0)</f>
        <v>0</v>
      </c>
      <c r="H54" s="35">
        <f>IF(G54&gt;0,VLOOKUP(A54,Wechsel!$A$11:$E$31,3),H53)</f>
        <v>0</v>
      </c>
      <c r="I54" s="35">
        <f>IF(G54&gt;0,VLOOKUP(A54,Wechsel!$A$11:$E$31,4),I53)</f>
        <v>0</v>
      </c>
      <c r="J54" s="35">
        <f>IF(G54&gt;0,VLOOKUP(A54,Wechsel!$A$11:$E$31,5),J53)</f>
        <v>1</v>
      </c>
      <c r="K54" s="52">
        <f t="shared" si="9"/>
        <v>0</v>
      </c>
      <c r="L54" s="53">
        <f t="shared" si="10"/>
        <v>2946.9302436244579</v>
      </c>
      <c r="M54" s="54">
        <f t="shared" si="16"/>
        <v>0</v>
      </c>
      <c r="N54" s="59">
        <f t="shared" si="5"/>
        <v>1</v>
      </c>
      <c r="O54" s="53">
        <f t="shared" si="11"/>
        <v>0</v>
      </c>
      <c r="P54" s="52">
        <f>MAX(P53-Eingabe!$E$28,0)</f>
        <v>0</v>
      </c>
      <c r="Q54" s="60">
        <f t="shared" si="6"/>
        <v>0</v>
      </c>
      <c r="R54" s="60">
        <f t="shared" si="12"/>
        <v>0</v>
      </c>
      <c r="S54" s="60">
        <f>Eingabe!$C$25+Eingabe!$E$25*'Berechnung EB 4%'!F54</f>
        <v>39</v>
      </c>
      <c r="T54" s="4">
        <f t="shared" si="8"/>
        <v>-39</v>
      </c>
    </row>
    <row r="55" spans="1:20">
      <c r="A55" s="27">
        <v>45</v>
      </c>
      <c r="B55" s="3">
        <f t="shared" si="0"/>
        <v>0.01</v>
      </c>
      <c r="C55" s="40">
        <v>0</v>
      </c>
      <c r="D55" s="40">
        <f t="shared" si="13"/>
        <v>0</v>
      </c>
      <c r="E55" s="47">
        <f t="shared" si="14"/>
        <v>0</v>
      </c>
      <c r="F55" s="47">
        <f t="shared" si="15"/>
        <v>0</v>
      </c>
      <c r="G55" s="27">
        <f>IF(VLOOKUP(A55,Wechsel!$A$11:$E$31,1)=A55,VLOOKUP(A55,Wechsel!$A$11:$E$31,1),0)</f>
        <v>0</v>
      </c>
      <c r="H55" s="35">
        <f>IF(G55&gt;0,VLOOKUP(A55,Wechsel!$A$11:$E$31,3),H54)</f>
        <v>0</v>
      </c>
      <c r="I55" s="35">
        <f>IF(G55&gt;0,VLOOKUP(A55,Wechsel!$A$11:$E$31,4),I54)</f>
        <v>0</v>
      </c>
      <c r="J55" s="35">
        <f>IF(G55&gt;0,VLOOKUP(A55,Wechsel!$A$11:$E$31,5),J54)</f>
        <v>1</v>
      </c>
      <c r="K55" s="52">
        <f t="shared" si="9"/>
        <v>0</v>
      </c>
      <c r="L55" s="53">
        <f t="shared" si="10"/>
        <v>2946.9302436244579</v>
      </c>
      <c r="M55" s="54">
        <f t="shared" si="16"/>
        <v>0</v>
      </c>
      <c r="N55" s="59">
        <f t="shared" si="5"/>
        <v>1</v>
      </c>
      <c r="O55" s="53">
        <f t="shared" si="11"/>
        <v>0</v>
      </c>
      <c r="P55" s="52">
        <f>MAX(P54-Eingabe!$E$28,0)</f>
        <v>0</v>
      </c>
      <c r="Q55" s="60">
        <f t="shared" si="6"/>
        <v>0</v>
      </c>
      <c r="R55" s="60">
        <f t="shared" si="12"/>
        <v>0</v>
      </c>
      <c r="S55" s="60">
        <f>Eingabe!$C$25+Eingabe!$E$25*'Berechnung EB 4%'!F55</f>
        <v>39</v>
      </c>
      <c r="T55" s="4">
        <f t="shared" si="8"/>
        <v>-39</v>
      </c>
    </row>
    <row r="56" spans="1:20">
      <c r="A56" s="27">
        <v>46</v>
      </c>
      <c r="B56" s="3">
        <f t="shared" si="0"/>
        <v>0.01</v>
      </c>
      <c r="C56" s="40">
        <v>0</v>
      </c>
      <c r="D56" s="40">
        <f t="shared" si="13"/>
        <v>0</v>
      </c>
      <c r="E56" s="47">
        <f t="shared" si="14"/>
        <v>0</v>
      </c>
      <c r="F56" s="47">
        <f t="shared" si="15"/>
        <v>0</v>
      </c>
      <c r="G56" s="27">
        <f>IF(VLOOKUP(A56,Wechsel!$A$11:$E$31,1)=A56,VLOOKUP(A56,Wechsel!$A$11:$E$31,1),0)</f>
        <v>0</v>
      </c>
      <c r="H56" s="35">
        <f>IF(G56&gt;0,VLOOKUP(A56,Wechsel!$A$11:$E$31,3),H55)</f>
        <v>0</v>
      </c>
      <c r="I56" s="35">
        <f>IF(G56&gt;0,VLOOKUP(A56,Wechsel!$A$11:$E$31,4),I55)</f>
        <v>0</v>
      </c>
      <c r="J56" s="35">
        <f>IF(G56&gt;0,VLOOKUP(A56,Wechsel!$A$11:$E$31,5),J55)</f>
        <v>1</v>
      </c>
      <c r="K56" s="52">
        <f t="shared" si="9"/>
        <v>0</v>
      </c>
      <c r="L56" s="53">
        <f t="shared" si="10"/>
        <v>2946.9302436244579</v>
      </c>
      <c r="M56" s="54">
        <f t="shared" si="16"/>
        <v>0</v>
      </c>
      <c r="N56" s="59">
        <f t="shared" si="5"/>
        <v>1</v>
      </c>
      <c r="O56" s="53">
        <f t="shared" si="11"/>
        <v>0</v>
      </c>
      <c r="P56" s="52">
        <f>MAX(P55-Eingabe!$E$28,0)</f>
        <v>0</v>
      </c>
      <c r="Q56" s="60">
        <f t="shared" si="6"/>
        <v>0</v>
      </c>
      <c r="R56" s="60">
        <f t="shared" si="12"/>
        <v>0</v>
      </c>
      <c r="S56" s="60">
        <f>Eingabe!$C$25+Eingabe!$E$25*'Berechnung EB 4%'!F56</f>
        <v>39</v>
      </c>
      <c r="T56" s="4">
        <f t="shared" si="8"/>
        <v>-39</v>
      </c>
    </row>
    <row r="57" spans="1:20">
      <c r="A57" s="27">
        <v>47</v>
      </c>
      <c r="B57" s="3">
        <f t="shared" si="0"/>
        <v>0.01</v>
      </c>
      <c r="C57" s="40">
        <v>0</v>
      </c>
      <c r="D57" s="40">
        <f t="shared" si="13"/>
        <v>0</v>
      </c>
      <c r="E57" s="47">
        <f t="shared" si="14"/>
        <v>0</v>
      </c>
      <c r="F57" s="47">
        <f t="shared" si="15"/>
        <v>0</v>
      </c>
      <c r="G57" s="27">
        <f>IF(VLOOKUP(A57,Wechsel!$A$11:$E$31,1)=A57,VLOOKUP(A57,Wechsel!$A$11:$E$31,1),0)</f>
        <v>0</v>
      </c>
      <c r="H57" s="35">
        <f>IF(G57&gt;0,VLOOKUP(A57,Wechsel!$A$11:$E$31,3),H56)</f>
        <v>0</v>
      </c>
      <c r="I57" s="35">
        <f>IF(G57&gt;0,VLOOKUP(A57,Wechsel!$A$11:$E$31,4),I56)</f>
        <v>0</v>
      </c>
      <c r="J57" s="35">
        <f>IF(G57&gt;0,VLOOKUP(A57,Wechsel!$A$11:$E$31,5),J56)</f>
        <v>1</v>
      </c>
      <c r="K57" s="52">
        <f t="shared" si="9"/>
        <v>0</v>
      </c>
      <c r="L57" s="53">
        <f t="shared" si="10"/>
        <v>2946.9302436244579</v>
      </c>
      <c r="M57" s="54">
        <f t="shared" si="16"/>
        <v>0</v>
      </c>
      <c r="N57" s="59">
        <f t="shared" si="5"/>
        <v>1</v>
      </c>
      <c r="O57" s="53">
        <f t="shared" si="11"/>
        <v>0</v>
      </c>
      <c r="P57" s="52">
        <f>MAX(P56-Eingabe!$E$28,0)</f>
        <v>0</v>
      </c>
      <c r="Q57" s="60">
        <f t="shared" si="6"/>
        <v>0</v>
      </c>
      <c r="R57" s="60">
        <f t="shared" si="12"/>
        <v>0</v>
      </c>
      <c r="S57" s="60">
        <f>Eingabe!$C$25+Eingabe!$E$25*'Berechnung EB 4%'!F57</f>
        <v>39</v>
      </c>
      <c r="T57" s="4">
        <f t="shared" si="8"/>
        <v>-39</v>
      </c>
    </row>
    <row r="58" spans="1:20">
      <c r="A58" s="27">
        <v>48</v>
      </c>
      <c r="B58" s="3">
        <f t="shared" si="0"/>
        <v>0.01</v>
      </c>
      <c r="C58" s="40">
        <v>0</v>
      </c>
      <c r="D58" s="40">
        <f t="shared" si="13"/>
        <v>0</v>
      </c>
      <c r="E58" s="47">
        <f t="shared" si="14"/>
        <v>0</v>
      </c>
      <c r="F58" s="47">
        <f t="shared" si="15"/>
        <v>0</v>
      </c>
      <c r="G58" s="27">
        <f>IF(VLOOKUP(A58,Wechsel!$A$11:$E$31,1)=A58,VLOOKUP(A58,Wechsel!$A$11:$E$31,1),0)</f>
        <v>0</v>
      </c>
      <c r="H58" s="35">
        <f>IF(G58&gt;0,VLOOKUP(A58,Wechsel!$A$11:$E$31,3),H57)</f>
        <v>0</v>
      </c>
      <c r="I58" s="35">
        <f>IF(G58&gt;0,VLOOKUP(A58,Wechsel!$A$11:$E$31,4),I57)</f>
        <v>0</v>
      </c>
      <c r="J58" s="35">
        <f>IF(G58&gt;0,VLOOKUP(A58,Wechsel!$A$11:$E$31,5),J57)</f>
        <v>1</v>
      </c>
      <c r="K58" s="52">
        <f t="shared" si="9"/>
        <v>0</v>
      </c>
      <c r="L58" s="53">
        <f t="shared" si="10"/>
        <v>2946.9302436244579</v>
      </c>
      <c r="M58" s="54">
        <f t="shared" si="16"/>
        <v>0</v>
      </c>
      <c r="N58" s="59">
        <f t="shared" si="5"/>
        <v>1</v>
      </c>
      <c r="O58" s="53">
        <f t="shared" si="11"/>
        <v>0</v>
      </c>
      <c r="P58" s="52">
        <f>MAX(P57-Eingabe!$E$28,0)</f>
        <v>0</v>
      </c>
      <c r="Q58" s="60">
        <f t="shared" si="6"/>
        <v>0</v>
      </c>
      <c r="R58" s="60">
        <f t="shared" si="12"/>
        <v>0</v>
      </c>
      <c r="S58" s="60">
        <f>Eingabe!$C$25+Eingabe!$E$25*'Berechnung EB 4%'!F58</f>
        <v>39</v>
      </c>
      <c r="T58" s="4">
        <f t="shared" si="8"/>
        <v>-39</v>
      </c>
    </row>
    <row r="59" spans="1:20">
      <c r="A59" s="27">
        <v>49</v>
      </c>
      <c r="B59" s="3">
        <f t="shared" si="0"/>
        <v>0.01</v>
      </c>
      <c r="C59" s="40">
        <v>0</v>
      </c>
      <c r="D59" s="40">
        <f t="shared" si="13"/>
        <v>0</v>
      </c>
      <c r="E59" s="47">
        <f t="shared" si="14"/>
        <v>0</v>
      </c>
      <c r="F59" s="47">
        <f t="shared" si="15"/>
        <v>0</v>
      </c>
      <c r="G59" s="27">
        <f>IF(VLOOKUP(A59,Wechsel!$A$11:$E$31,1)=A59,VLOOKUP(A59,Wechsel!$A$11:$E$31,1),0)</f>
        <v>0</v>
      </c>
      <c r="H59" s="35">
        <f>IF(G59&gt;0,VLOOKUP(A59,Wechsel!$A$11:$E$31,3),H58)</f>
        <v>0</v>
      </c>
      <c r="I59" s="35">
        <f>IF(G59&gt;0,VLOOKUP(A59,Wechsel!$A$11:$E$31,4),I58)</f>
        <v>0</v>
      </c>
      <c r="J59" s="35">
        <f>IF(G59&gt;0,VLOOKUP(A59,Wechsel!$A$11:$E$31,5),J58)</f>
        <v>1</v>
      </c>
      <c r="K59" s="52">
        <f t="shared" si="9"/>
        <v>0</v>
      </c>
      <c r="L59" s="53">
        <f t="shared" si="10"/>
        <v>2946.9302436244579</v>
      </c>
      <c r="M59" s="54">
        <f t="shared" si="16"/>
        <v>0</v>
      </c>
      <c r="N59" s="59">
        <f t="shared" si="5"/>
        <v>1</v>
      </c>
      <c r="O59" s="53">
        <f t="shared" si="11"/>
        <v>0</v>
      </c>
      <c r="P59" s="52">
        <f>MAX(P58-Eingabe!$E$28,0)</f>
        <v>0</v>
      </c>
      <c r="Q59" s="60">
        <f t="shared" si="6"/>
        <v>0</v>
      </c>
      <c r="R59" s="60">
        <f t="shared" si="12"/>
        <v>0</v>
      </c>
      <c r="S59" s="60">
        <f>Eingabe!$C$25+Eingabe!$E$25*'Berechnung EB 4%'!F59</f>
        <v>39</v>
      </c>
      <c r="T59" s="4">
        <f t="shared" si="8"/>
        <v>-39</v>
      </c>
    </row>
    <row r="60" spans="1:20">
      <c r="A60" s="27">
        <v>50</v>
      </c>
      <c r="B60" s="3">
        <f t="shared" si="0"/>
        <v>0.01</v>
      </c>
      <c r="C60" s="40">
        <v>0</v>
      </c>
      <c r="D60" s="40">
        <f t="shared" si="13"/>
        <v>0</v>
      </c>
      <c r="E60" s="47">
        <f t="shared" si="14"/>
        <v>0</v>
      </c>
      <c r="F60" s="47">
        <f t="shared" si="15"/>
        <v>0</v>
      </c>
      <c r="G60" s="27">
        <f>IF(VLOOKUP(A60,Wechsel!$A$11:$E$31,1)=A60,VLOOKUP(A60,Wechsel!$A$11:$E$31,1),0)</f>
        <v>0</v>
      </c>
      <c r="H60" s="35">
        <f>IF(G60&gt;0,VLOOKUP(A60,Wechsel!$A$11:$E$31,3),H59)</f>
        <v>0</v>
      </c>
      <c r="I60" s="35">
        <f>IF(G60&gt;0,VLOOKUP(A60,Wechsel!$A$11:$E$31,4),I59)</f>
        <v>0</v>
      </c>
      <c r="J60" s="35">
        <f>IF(G60&gt;0,VLOOKUP(A60,Wechsel!$A$11:$E$31,5),J59)</f>
        <v>1</v>
      </c>
      <c r="K60" s="52">
        <f t="shared" si="9"/>
        <v>0</v>
      </c>
      <c r="L60" s="53">
        <f t="shared" si="10"/>
        <v>2946.9302436244579</v>
      </c>
      <c r="M60" s="54">
        <f t="shared" si="16"/>
        <v>0</v>
      </c>
      <c r="N60" s="59">
        <f t="shared" si="5"/>
        <v>1</v>
      </c>
      <c r="O60" s="53">
        <f t="shared" si="11"/>
        <v>0</v>
      </c>
      <c r="P60" s="52">
        <f>MAX(P59-Eingabe!$E$28,0)</f>
        <v>0</v>
      </c>
      <c r="Q60" s="60">
        <f t="shared" si="6"/>
        <v>0</v>
      </c>
      <c r="R60" s="60">
        <f t="shared" si="12"/>
        <v>0</v>
      </c>
      <c r="S60" s="60">
        <f>Eingabe!$C$25+Eingabe!$E$25*'Berechnung EB 4%'!F60</f>
        <v>39</v>
      </c>
      <c r="T60" s="4">
        <f t="shared" si="8"/>
        <v>-39</v>
      </c>
    </row>
    <row r="61" spans="1:20">
      <c r="A61" s="190">
        <v>51</v>
      </c>
      <c r="B61" s="3">
        <f t="shared" ref="B61:B70" si="17">$G$3*H60+$H$3*I60+$I$3*J60</f>
        <v>0.01</v>
      </c>
      <c r="C61" s="40">
        <v>0</v>
      </c>
      <c r="D61" s="40">
        <f t="shared" ref="D61:D70" si="18">IF(A61&gt;$B$3,0,T60)</f>
        <v>0</v>
      </c>
      <c r="E61" s="47">
        <f t="shared" ref="E61:E70" si="19">(C61+D61)*$B$1</f>
        <v>0</v>
      </c>
      <c r="F61" s="47">
        <f t="shared" ref="F61:F70" si="20">IF(A61&gt;$B$3,0,C61+E61+D61)</f>
        <v>0</v>
      </c>
      <c r="G61" s="190">
        <f>IF(VLOOKUP(A61,Wechsel!$A$11:$E$31,1)=A61,VLOOKUP(A61,Wechsel!$A$11:$E$31,1),0)</f>
        <v>0</v>
      </c>
      <c r="H61" s="35">
        <f>IF(G61&gt;0,VLOOKUP(A61,Wechsel!$A$11:$E$31,3),H60)</f>
        <v>0</v>
      </c>
      <c r="I61" s="35">
        <f>IF(G61&gt;0,VLOOKUP(A61,Wechsel!$A$11:$E$31,4),I60)</f>
        <v>0</v>
      </c>
      <c r="J61" s="35">
        <f>IF(G61&gt;0,VLOOKUP(A61,Wechsel!$A$11:$E$31,5),J60)</f>
        <v>1</v>
      </c>
      <c r="K61" s="52">
        <f t="shared" ref="K61:K70" si="21">D61*$M$1*0.7*0.7*$M$2*H61+D61*$M$1*0.85*0.7*$M$2*I61+D61*$M$1*0.7*$M$2*J61</f>
        <v>0</v>
      </c>
      <c r="L61" s="53">
        <f t="shared" ref="L61:L70" si="22">IF(G60&gt;0,K61,K61+L60)</f>
        <v>2946.9302436244579</v>
      </c>
      <c r="M61" s="54">
        <f t="shared" ref="M61:M70" si="23">IF(A61&gt;$B$3,0,IF(G60&gt;0,T60,C61+M60))</f>
        <v>0</v>
      </c>
      <c r="N61" s="59">
        <f t="shared" ref="N61:N70" si="24">1-(H61*$G$5+I61*$H$5+J61*$I$5)</f>
        <v>1</v>
      </c>
      <c r="O61" s="53">
        <f t="shared" ref="O61:O70" si="25">IF(G61&gt;0,(F61-M61)*N60,0)</f>
        <v>0</v>
      </c>
      <c r="P61" s="52">
        <f>MAX(P60-Eingabe!$E$28,0)</f>
        <v>0</v>
      </c>
      <c r="Q61" s="60">
        <f t="shared" ref="Q61:Q70" si="26">MAX(0,K61+O61*$M$2-P61-IF(G61&gt;0,-(L60+K61),0))</f>
        <v>0</v>
      </c>
      <c r="R61" s="60">
        <f t="shared" ref="R61:R70" si="27">MAX(IF(G61&gt;0,(H61*$G$4+I61*$H$4+J61*$I$4)*(F61-Q61),0),0)</f>
        <v>0</v>
      </c>
      <c r="S61" s="60">
        <f>Eingabe!$C$25+Eingabe!$E$25*'Berechnung EB 4%'!F61</f>
        <v>39</v>
      </c>
      <c r="T61" s="4">
        <f t="shared" ref="T61:T70" si="28">F61-Q61-R61-S61</f>
        <v>-39</v>
      </c>
    </row>
    <row r="62" spans="1:20">
      <c r="A62" s="190">
        <v>52</v>
      </c>
      <c r="B62" s="3">
        <f t="shared" si="17"/>
        <v>0.01</v>
      </c>
      <c r="C62" s="40">
        <v>0</v>
      </c>
      <c r="D62" s="40">
        <f t="shared" si="18"/>
        <v>0</v>
      </c>
      <c r="E62" s="47">
        <f t="shared" si="19"/>
        <v>0</v>
      </c>
      <c r="F62" s="47">
        <f t="shared" si="20"/>
        <v>0</v>
      </c>
      <c r="G62" s="190">
        <f>IF(VLOOKUP(A62,Wechsel!$A$11:$E$31,1)=A62,VLOOKUP(A62,Wechsel!$A$11:$E$31,1),0)</f>
        <v>0</v>
      </c>
      <c r="H62" s="35">
        <f>IF(G62&gt;0,VLOOKUP(A62,Wechsel!$A$11:$E$31,3),H61)</f>
        <v>0</v>
      </c>
      <c r="I62" s="35">
        <f>IF(G62&gt;0,VLOOKUP(A62,Wechsel!$A$11:$E$31,4),I61)</f>
        <v>0</v>
      </c>
      <c r="J62" s="35">
        <f>IF(G62&gt;0,VLOOKUP(A62,Wechsel!$A$11:$E$31,5),J61)</f>
        <v>1</v>
      </c>
      <c r="K62" s="52">
        <f t="shared" si="21"/>
        <v>0</v>
      </c>
      <c r="L62" s="53">
        <f t="shared" si="22"/>
        <v>2946.9302436244579</v>
      </c>
      <c r="M62" s="54">
        <f t="shared" si="23"/>
        <v>0</v>
      </c>
      <c r="N62" s="59">
        <f t="shared" si="24"/>
        <v>1</v>
      </c>
      <c r="O62" s="53">
        <f t="shared" si="25"/>
        <v>0</v>
      </c>
      <c r="P62" s="52">
        <f>MAX(P61-Eingabe!$E$28,0)</f>
        <v>0</v>
      </c>
      <c r="Q62" s="60">
        <f t="shared" si="26"/>
        <v>0</v>
      </c>
      <c r="R62" s="60">
        <f t="shared" si="27"/>
        <v>0</v>
      </c>
      <c r="S62" s="60">
        <f>Eingabe!$C$25+Eingabe!$E$25*'Berechnung EB 4%'!F62</f>
        <v>39</v>
      </c>
      <c r="T62" s="4">
        <f t="shared" si="28"/>
        <v>-39</v>
      </c>
    </row>
    <row r="63" spans="1:20">
      <c r="A63" s="190">
        <v>53</v>
      </c>
      <c r="B63" s="3">
        <f t="shared" si="17"/>
        <v>0.01</v>
      </c>
      <c r="C63" s="40">
        <v>0</v>
      </c>
      <c r="D63" s="40">
        <f t="shared" si="18"/>
        <v>0</v>
      </c>
      <c r="E63" s="47">
        <f t="shared" si="19"/>
        <v>0</v>
      </c>
      <c r="F63" s="47">
        <f t="shared" si="20"/>
        <v>0</v>
      </c>
      <c r="G63" s="190">
        <f>IF(VLOOKUP(A63,Wechsel!$A$11:$E$31,1)=A63,VLOOKUP(A63,Wechsel!$A$11:$E$31,1),0)</f>
        <v>0</v>
      </c>
      <c r="H63" s="35">
        <f>IF(G63&gt;0,VLOOKUP(A63,Wechsel!$A$11:$E$31,3),H62)</f>
        <v>0</v>
      </c>
      <c r="I63" s="35">
        <f>IF(G63&gt;0,VLOOKUP(A63,Wechsel!$A$11:$E$31,4),I62)</f>
        <v>0</v>
      </c>
      <c r="J63" s="35">
        <f>IF(G63&gt;0,VLOOKUP(A63,Wechsel!$A$11:$E$31,5),J62)</f>
        <v>1</v>
      </c>
      <c r="K63" s="52">
        <f t="shared" si="21"/>
        <v>0</v>
      </c>
      <c r="L63" s="53">
        <f t="shared" si="22"/>
        <v>2946.9302436244579</v>
      </c>
      <c r="M63" s="54">
        <f t="shared" si="23"/>
        <v>0</v>
      </c>
      <c r="N63" s="59">
        <f t="shared" si="24"/>
        <v>1</v>
      </c>
      <c r="O63" s="53">
        <f t="shared" si="25"/>
        <v>0</v>
      </c>
      <c r="P63" s="52">
        <f>MAX(P62-Eingabe!$E$28,0)</f>
        <v>0</v>
      </c>
      <c r="Q63" s="60">
        <f t="shared" si="26"/>
        <v>0</v>
      </c>
      <c r="R63" s="60">
        <f t="shared" si="27"/>
        <v>0</v>
      </c>
      <c r="S63" s="60">
        <f>Eingabe!$C$25+Eingabe!$E$25*'Berechnung EB 4%'!F63</f>
        <v>39</v>
      </c>
      <c r="T63" s="4">
        <f t="shared" si="28"/>
        <v>-39</v>
      </c>
    </row>
    <row r="64" spans="1:20">
      <c r="A64" s="190">
        <v>54</v>
      </c>
      <c r="B64" s="3">
        <f t="shared" si="17"/>
        <v>0.01</v>
      </c>
      <c r="C64" s="40">
        <v>0</v>
      </c>
      <c r="D64" s="40">
        <f t="shared" si="18"/>
        <v>0</v>
      </c>
      <c r="E64" s="47">
        <f t="shared" si="19"/>
        <v>0</v>
      </c>
      <c r="F64" s="47">
        <f t="shared" si="20"/>
        <v>0</v>
      </c>
      <c r="G64" s="190">
        <f>IF(VLOOKUP(A64,Wechsel!$A$11:$E$31,1)=A64,VLOOKUP(A64,Wechsel!$A$11:$E$31,1),0)</f>
        <v>0</v>
      </c>
      <c r="H64" s="35">
        <f>IF(G64&gt;0,VLOOKUP(A64,Wechsel!$A$11:$E$31,3),H63)</f>
        <v>0</v>
      </c>
      <c r="I64" s="35">
        <f>IF(G64&gt;0,VLOOKUP(A64,Wechsel!$A$11:$E$31,4),I63)</f>
        <v>0</v>
      </c>
      <c r="J64" s="35">
        <f>IF(G64&gt;0,VLOOKUP(A64,Wechsel!$A$11:$E$31,5),J63)</f>
        <v>1</v>
      </c>
      <c r="K64" s="52">
        <f t="shared" si="21"/>
        <v>0</v>
      </c>
      <c r="L64" s="53">
        <f t="shared" si="22"/>
        <v>2946.9302436244579</v>
      </c>
      <c r="M64" s="54">
        <f t="shared" si="23"/>
        <v>0</v>
      </c>
      <c r="N64" s="59">
        <f t="shared" si="24"/>
        <v>1</v>
      </c>
      <c r="O64" s="53">
        <f t="shared" si="25"/>
        <v>0</v>
      </c>
      <c r="P64" s="52">
        <f>MAX(P63-Eingabe!$E$28,0)</f>
        <v>0</v>
      </c>
      <c r="Q64" s="60">
        <f t="shared" si="26"/>
        <v>0</v>
      </c>
      <c r="R64" s="60">
        <f t="shared" si="27"/>
        <v>0</v>
      </c>
      <c r="S64" s="60">
        <f>Eingabe!$C$25+Eingabe!$E$25*'Berechnung EB 4%'!F64</f>
        <v>39</v>
      </c>
      <c r="T64" s="4">
        <f t="shared" si="28"/>
        <v>-39</v>
      </c>
    </row>
    <row r="65" spans="1:20">
      <c r="A65" s="190">
        <v>55</v>
      </c>
      <c r="B65" s="3">
        <f t="shared" si="17"/>
        <v>0.01</v>
      </c>
      <c r="C65" s="40">
        <v>0</v>
      </c>
      <c r="D65" s="40">
        <f t="shared" si="18"/>
        <v>0</v>
      </c>
      <c r="E65" s="47">
        <f t="shared" si="19"/>
        <v>0</v>
      </c>
      <c r="F65" s="47">
        <f t="shared" si="20"/>
        <v>0</v>
      </c>
      <c r="G65" s="190">
        <f>IF(VLOOKUP(A65,Wechsel!$A$11:$E$31,1)=A65,VLOOKUP(A65,Wechsel!$A$11:$E$31,1),0)</f>
        <v>0</v>
      </c>
      <c r="H65" s="35">
        <f>IF(G65&gt;0,VLOOKUP(A65,Wechsel!$A$11:$E$31,3),H64)</f>
        <v>0</v>
      </c>
      <c r="I65" s="35">
        <f>IF(G65&gt;0,VLOOKUP(A65,Wechsel!$A$11:$E$31,4),I64)</f>
        <v>0</v>
      </c>
      <c r="J65" s="35">
        <f>IF(G65&gt;0,VLOOKUP(A65,Wechsel!$A$11:$E$31,5),J64)</f>
        <v>1</v>
      </c>
      <c r="K65" s="52">
        <f t="shared" si="21"/>
        <v>0</v>
      </c>
      <c r="L65" s="53">
        <f t="shared" si="22"/>
        <v>2946.9302436244579</v>
      </c>
      <c r="M65" s="54">
        <f t="shared" si="23"/>
        <v>0</v>
      </c>
      <c r="N65" s="59">
        <f t="shared" si="24"/>
        <v>1</v>
      </c>
      <c r="O65" s="53">
        <f t="shared" si="25"/>
        <v>0</v>
      </c>
      <c r="P65" s="52">
        <f>MAX(P64-Eingabe!$E$28,0)</f>
        <v>0</v>
      </c>
      <c r="Q65" s="60">
        <f t="shared" si="26"/>
        <v>0</v>
      </c>
      <c r="R65" s="60">
        <f t="shared" si="27"/>
        <v>0</v>
      </c>
      <c r="S65" s="60">
        <f>Eingabe!$C$25+Eingabe!$E$25*'Berechnung EB 4%'!F65</f>
        <v>39</v>
      </c>
      <c r="T65" s="4">
        <f t="shared" si="28"/>
        <v>-39</v>
      </c>
    </row>
    <row r="66" spans="1:20">
      <c r="A66" s="190">
        <v>56</v>
      </c>
      <c r="B66" s="3">
        <f t="shared" si="17"/>
        <v>0.01</v>
      </c>
      <c r="C66" s="40">
        <v>0</v>
      </c>
      <c r="D66" s="40">
        <f t="shared" si="18"/>
        <v>0</v>
      </c>
      <c r="E66" s="47">
        <f t="shared" si="19"/>
        <v>0</v>
      </c>
      <c r="F66" s="47">
        <f t="shared" si="20"/>
        <v>0</v>
      </c>
      <c r="G66" s="190">
        <f>IF(VLOOKUP(A66,Wechsel!$A$11:$E$31,1)=A66,VLOOKUP(A66,Wechsel!$A$11:$E$31,1),0)</f>
        <v>0</v>
      </c>
      <c r="H66" s="35">
        <f>IF(G66&gt;0,VLOOKUP(A66,Wechsel!$A$11:$E$31,3),H65)</f>
        <v>0</v>
      </c>
      <c r="I66" s="35">
        <f>IF(G66&gt;0,VLOOKUP(A66,Wechsel!$A$11:$E$31,4),I65)</f>
        <v>0</v>
      </c>
      <c r="J66" s="35">
        <f>IF(G66&gt;0,VLOOKUP(A66,Wechsel!$A$11:$E$31,5),J65)</f>
        <v>1</v>
      </c>
      <c r="K66" s="52">
        <f t="shared" si="21"/>
        <v>0</v>
      </c>
      <c r="L66" s="53">
        <f t="shared" si="22"/>
        <v>2946.9302436244579</v>
      </c>
      <c r="M66" s="54">
        <f t="shared" si="23"/>
        <v>0</v>
      </c>
      <c r="N66" s="59">
        <f t="shared" si="24"/>
        <v>1</v>
      </c>
      <c r="O66" s="53">
        <f t="shared" si="25"/>
        <v>0</v>
      </c>
      <c r="P66" s="52">
        <f>MAX(P65-Eingabe!$E$28,0)</f>
        <v>0</v>
      </c>
      <c r="Q66" s="60">
        <f t="shared" si="26"/>
        <v>0</v>
      </c>
      <c r="R66" s="60">
        <f t="shared" si="27"/>
        <v>0</v>
      </c>
      <c r="S66" s="60">
        <f>Eingabe!$C$25+Eingabe!$E$25*'Berechnung EB 4%'!F66</f>
        <v>39</v>
      </c>
      <c r="T66" s="4">
        <f t="shared" si="28"/>
        <v>-39</v>
      </c>
    </row>
    <row r="67" spans="1:20">
      <c r="A67" s="190">
        <v>57</v>
      </c>
      <c r="B67" s="3">
        <f t="shared" si="17"/>
        <v>0.01</v>
      </c>
      <c r="C67" s="40">
        <v>0</v>
      </c>
      <c r="D67" s="40">
        <f t="shared" si="18"/>
        <v>0</v>
      </c>
      <c r="E67" s="47">
        <f t="shared" si="19"/>
        <v>0</v>
      </c>
      <c r="F67" s="47">
        <f t="shared" si="20"/>
        <v>0</v>
      </c>
      <c r="G67" s="190">
        <f>IF(VLOOKUP(A67,Wechsel!$A$11:$E$31,1)=A67,VLOOKUP(A67,Wechsel!$A$11:$E$31,1),0)</f>
        <v>0</v>
      </c>
      <c r="H67" s="35">
        <f>IF(G67&gt;0,VLOOKUP(A67,Wechsel!$A$11:$E$31,3),H66)</f>
        <v>0</v>
      </c>
      <c r="I67" s="35">
        <f>IF(G67&gt;0,VLOOKUP(A67,Wechsel!$A$11:$E$31,4),I66)</f>
        <v>0</v>
      </c>
      <c r="J67" s="35">
        <f>IF(G67&gt;0,VLOOKUP(A67,Wechsel!$A$11:$E$31,5),J66)</f>
        <v>1</v>
      </c>
      <c r="K67" s="52">
        <f t="shared" si="21"/>
        <v>0</v>
      </c>
      <c r="L67" s="53">
        <f t="shared" si="22"/>
        <v>2946.9302436244579</v>
      </c>
      <c r="M67" s="54">
        <f t="shared" si="23"/>
        <v>0</v>
      </c>
      <c r="N67" s="59">
        <f t="shared" si="24"/>
        <v>1</v>
      </c>
      <c r="O67" s="53">
        <f t="shared" si="25"/>
        <v>0</v>
      </c>
      <c r="P67" s="52">
        <f>MAX(P66-Eingabe!$E$28,0)</f>
        <v>0</v>
      </c>
      <c r="Q67" s="60">
        <f t="shared" si="26"/>
        <v>0</v>
      </c>
      <c r="R67" s="60">
        <f t="shared" si="27"/>
        <v>0</v>
      </c>
      <c r="S67" s="60">
        <f>Eingabe!$C$25+Eingabe!$E$25*'Berechnung EB 4%'!F67</f>
        <v>39</v>
      </c>
      <c r="T67" s="4">
        <f t="shared" si="28"/>
        <v>-39</v>
      </c>
    </row>
    <row r="68" spans="1:20">
      <c r="A68" s="190">
        <v>58</v>
      </c>
      <c r="B68" s="3">
        <f t="shared" si="17"/>
        <v>0.01</v>
      </c>
      <c r="C68" s="40">
        <v>0</v>
      </c>
      <c r="D68" s="40">
        <f t="shared" si="18"/>
        <v>0</v>
      </c>
      <c r="E68" s="47">
        <f t="shared" si="19"/>
        <v>0</v>
      </c>
      <c r="F68" s="47">
        <f t="shared" si="20"/>
        <v>0</v>
      </c>
      <c r="G68" s="190">
        <f>IF(VLOOKUP(A68,Wechsel!$A$11:$E$31,1)=A68,VLOOKUP(A68,Wechsel!$A$11:$E$31,1),0)</f>
        <v>0</v>
      </c>
      <c r="H68" s="35">
        <f>IF(G68&gt;0,VLOOKUP(A68,Wechsel!$A$11:$E$31,3),H67)</f>
        <v>0</v>
      </c>
      <c r="I68" s="35">
        <f>IF(G68&gt;0,VLOOKUP(A68,Wechsel!$A$11:$E$31,4),I67)</f>
        <v>0</v>
      </c>
      <c r="J68" s="35">
        <f>IF(G68&gt;0,VLOOKUP(A68,Wechsel!$A$11:$E$31,5),J67)</f>
        <v>1</v>
      </c>
      <c r="K68" s="52">
        <f t="shared" si="21"/>
        <v>0</v>
      </c>
      <c r="L68" s="53">
        <f t="shared" si="22"/>
        <v>2946.9302436244579</v>
      </c>
      <c r="M68" s="54">
        <f t="shared" si="23"/>
        <v>0</v>
      </c>
      <c r="N68" s="59">
        <f t="shared" si="24"/>
        <v>1</v>
      </c>
      <c r="O68" s="53">
        <f t="shared" si="25"/>
        <v>0</v>
      </c>
      <c r="P68" s="52">
        <f>MAX(P67-Eingabe!$E$28,0)</f>
        <v>0</v>
      </c>
      <c r="Q68" s="60">
        <f t="shared" si="26"/>
        <v>0</v>
      </c>
      <c r="R68" s="60">
        <f t="shared" si="27"/>
        <v>0</v>
      </c>
      <c r="S68" s="60">
        <f>Eingabe!$C$25+Eingabe!$E$25*'Berechnung EB 4%'!F68</f>
        <v>39</v>
      </c>
      <c r="T68" s="4">
        <f t="shared" si="28"/>
        <v>-39</v>
      </c>
    </row>
    <row r="69" spans="1:20">
      <c r="A69" s="190">
        <v>59</v>
      </c>
      <c r="B69" s="3">
        <f t="shared" si="17"/>
        <v>0.01</v>
      </c>
      <c r="C69" s="40">
        <v>0</v>
      </c>
      <c r="D69" s="40">
        <f t="shared" si="18"/>
        <v>0</v>
      </c>
      <c r="E69" s="47">
        <f t="shared" si="19"/>
        <v>0</v>
      </c>
      <c r="F69" s="47">
        <f t="shared" si="20"/>
        <v>0</v>
      </c>
      <c r="G69" s="190">
        <f>IF(VLOOKUP(A69,Wechsel!$A$11:$E$31,1)=A69,VLOOKUP(A69,Wechsel!$A$11:$E$31,1),0)</f>
        <v>0</v>
      </c>
      <c r="H69" s="35">
        <f>IF(G69&gt;0,VLOOKUP(A69,Wechsel!$A$11:$E$31,3),H68)</f>
        <v>0</v>
      </c>
      <c r="I69" s="35">
        <f>IF(G69&gt;0,VLOOKUP(A69,Wechsel!$A$11:$E$31,4),I68)</f>
        <v>0</v>
      </c>
      <c r="J69" s="35">
        <f>IF(G69&gt;0,VLOOKUP(A69,Wechsel!$A$11:$E$31,5),J68)</f>
        <v>1</v>
      </c>
      <c r="K69" s="52">
        <f t="shared" si="21"/>
        <v>0</v>
      </c>
      <c r="L69" s="53">
        <f t="shared" si="22"/>
        <v>2946.9302436244579</v>
      </c>
      <c r="M69" s="54">
        <f t="shared" si="23"/>
        <v>0</v>
      </c>
      <c r="N69" s="59">
        <f t="shared" si="24"/>
        <v>1</v>
      </c>
      <c r="O69" s="53">
        <f t="shared" si="25"/>
        <v>0</v>
      </c>
      <c r="P69" s="52">
        <f>MAX(P68-Eingabe!$E$28,0)</f>
        <v>0</v>
      </c>
      <c r="Q69" s="60">
        <f t="shared" si="26"/>
        <v>0</v>
      </c>
      <c r="R69" s="60">
        <f t="shared" si="27"/>
        <v>0</v>
      </c>
      <c r="S69" s="60">
        <f>Eingabe!$C$25+Eingabe!$E$25*'Berechnung EB 4%'!F69</f>
        <v>39</v>
      </c>
      <c r="T69" s="4">
        <f t="shared" si="28"/>
        <v>-39</v>
      </c>
    </row>
    <row r="70" spans="1:20">
      <c r="A70" s="190">
        <v>60</v>
      </c>
      <c r="B70" s="3">
        <f t="shared" si="17"/>
        <v>0.01</v>
      </c>
      <c r="C70" s="40">
        <v>0</v>
      </c>
      <c r="D70" s="40">
        <f t="shared" si="18"/>
        <v>0</v>
      </c>
      <c r="E70" s="47">
        <f t="shared" si="19"/>
        <v>0</v>
      </c>
      <c r="F70" s="47">
        <f t="shared" si="20"/>
        <v>0</v>
      </c>
      <c r="G70" s="190">
        <f>IF(VLOOKUP(A70,Wechsel!$A$11:$E$31,1)=A70,VLOOKUP(A70,Wechsel!$A$11:$E$31,1),0)</f>
        <v>0</v>
      </c>
      <c r="H70" s="35">
        <f>IF(G70&gt;0,VLOOKUP(A70,Wechsel!$A$11:$E$31,3),H69)</f>
        <v>0</v>
      </c>
      <c r="I70" s="35">
        <f>IF(G70&gt;0,VLOOKUP(A70,Wechsel!$A$11:$E$31,4),I69)</f>
        <v>0</v>
      </c>
      <c r="J70" s="35">
        <f>IF(G70&gt;0,VLOOKUP(A70,Wechsel!$A$11:$E$31,5),J69)</f>
        <v>1</v>
      </c>
      <c r="K70" s="52">
        <f t="shared" si="21"/>
        <v>0</v>
      </c>
      <c r="L70" s="53">
        <f t="shared" si="22"/>
        <v>2946.9302436244579</v>
      </c>
      <c r="M70" s="54">
        <f t="shared" si="23"/>
        <v>0</v>
      </c>
      <c r="N70" s="59">
        <f t="shared" si="24"/>
        <v>1</v>
      </c>
      <c r="O70" s="53">
        <f t="shared" si="25"/>
        <v>0</v>
      </c>
      <c r="P70" s="52">
        <f>MAX(P69-Eingabe!$E$28,0)</f>
        <v>0</v>
      </c>
      <c r="Q70" s="60">
        <f t="shared" si="26"/>
        <v>0</v>
      </c>
      <c r="R70" s="60">
        <f t="shared" si="27"/>
        <v>0</v>
      </c>
      <c r="S70" s="60">
        <f>Eingabe!$C$25+Eingabe!$E$25*'Berechnung EB 4%'!F70</f>
        <v>39</v>
      </c>
      <c r="T70" s="4">
        <f t="shared" si="28"/>
        <v>-39</v>
      </c>
    </row>
  </sheetData>
  <mergeCells count="3">
    <mergeCell ref="F1:I1"/>
    <mergeCell ref="J1:J2"/>
    <mergeCell ref="J4:Q4"/>
  </mergeCells>
  <conditionalFormatting sqref="H1 H81:H1048576 G11:G80">
    <cfRule type="cellIs" dxfId="0" priority="1" operator="greaterThan">
      <formula>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Eingabe</vt:lpstr>
      <vt:lpstr>Steuer</vt:lpstr>
      <vt:lpstr>Steuerübersicht</vt:lpstr>
      <vt:lpstr>Wechsel</vt:lpstr>
      <vt:lpstr>Grafik</vt:lpstr>
      <vt:lpstr>Hilfe</vt:lpstr>
      <vt:lpstr>FSX (Einzel)</vt:lpstr>
      <vt:lpstr>FSX (G)</vt:lpstr>
      <vt:lpstr>FSX (N) </vt:lpstr>
      <vt:lpstr>FSX (U)</vt:lpstr>
      <vt:lpstr>FSX (V) </vt:lpstr>
      <vt:lpstr>FSX (W)</vt:lpstr>
      <vt:lpstr>FSX (M)</vt:lpstr>
      <vt:lpstr>FSX (EB, Einzel)</vt:lpstr>
      <vt:lpstr>FSX (EB, G)</vt:lpstr>
      <vt:lpstr>FSX (EB, N)</vt:lpstr>
      <vt:lpstr>FSX (EB, U)</vt:lpstr>
      <vt:lpstr>FSX (EB, V)</vt:lpstr>
      <vt:lpstr>FSX (EB, W)</vt:lpstr>
      <vt:lpstr>FSX (EB, M)</vt:lpstr>
      <vt:lpstr>Berechnung Ratierlich heute</vt:lpstr>
      <vt:lpstr>Berechnung Ratierlich 2%</vt:lpstr>
      <vt:lpstr>Berechnung Ratierlich 4%</vt:lpstr>
      <vt:lpstr>Berechnung EB heute</vt:lpstr>
      <vt:lpstr>Berechnung EB 2%</vt:lpstr>
      <vt:lpstr>Berechnung EB 4%</vt:lpstr>
    </vt:vector>
  </TitlesOfParts>
  <Company>Helvetia Versicherungen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Guntram Overbeck</dc:creator>
  <cp:lastModifiedBy>Guntram Overbeck</cp:lastModifiedBy>
  <cp:lastPrinted>2021-10-12T07:52:02Z</cp:lastPrinted>
  <dcterms:created xsi:type="dcterms:W3CDTF">2017-10-24T09:27:55Z</dcterms:created>
  <dcterms:modified xsi:type="dcterms:W3CDTF">2022-01-12T10:08:09Z</dcterms:modified>
</cp:coreProperties>
</file>